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8_{E4FAAC43-C96A-4B1B-A8C6-4A68E278004D}" xr6:coauthVersionLast="47" xr6:coauthVersionMax="47" xr10:uidLastSave="{00000000-0000-0000-0000-000000000000}"/>
  <bookViews>
    <workbookView xWindow="-108" yWindow="-108" windowWidth="23256" windowHeight="12720" xr2:uid="{4F8ED089-7097-477A-9C89-27D9B2F2A2C5}"/>
  </bookViews>
  <sheets>
    <sheet name="13" sheetId="1" r:id="rId1"/>
  </sheets>
  <externalReferences>
    <externalReference r:id="rId2"/>
  </externalReferences>
  <definedNames>
    <definedName name="newbasicPB4">[1]Sheet1!$T$4:$T$37</definedName>
    <definedName name="oldbasicPB4">[1]Sheet1!$S$4:$S$37</definedName>
    <definedName name="_xlnm.Print_Area" localSheetId="0">'13'!$A$1:$I$59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1" i="1" l="1"/>
  <c r="F101" i="1" s="1"/>
  <c r="H100" i="1"/>
  <c r="K99" i="1"/>
  <c r="K98" i="1"/>
  <c r="E96" i="1"/>
  <c r="B88" i="1"/>
  <c r="C78" i="1"/>
  <c r="E86" i="1" s="1"/>
  <c r="C77" i="1"/>
  <c r="L74" i="1"/>
  <c r="G71" i="1"/>
  <c r="G56" i="1"/>
  <c r="E88" i="1" s="1"/>
  <c r="G55" i="1"/>
  <c r="H69" i="1" s="1"/>
  <c r="E82" i="1" s="1"/>
  <c r="G54" i="1"/>
  <c r="H56" i="1" s="1"/>
  <c r="G43" i="1"/>
  <c r="M42" i="1"/>
  <c r="M41" i="1"/>
  <c r="F35" i="1"/>
  <c r="F34" i="1"/>
  <c r="G30" i="1"/>
  <c r="G29" i="1"/>
  <c r="F36" i="1" s="1"/>
  <c r="G28" i="1"/>
  <c r="G27" i="1"/>
  <c r="H30" i="1" s="1"/>
  <c r="H22" i="1"/>
  <c r="G14" i="1"/>
  <c r="F15" i="1" s="1"/>
  <c r="G16" i="1" s="1"/>
  <c r="G12" i="1"/>
  <c r="G8" i="1"/>
  <c r="G5" i="1"/>
  <c r="G4" i="1"/>
  <c r="G7" i="1" s="1"/>
  <c r="G9" i="1" s="1"/>
  <c r="H10" i="1" s="1"/>
  <c r="I2" i="1"/>
  <c r="A39" i="1" s="1"/>
  <c r="A51" i="1" s="1"/>
  <c r="G36" i="1" l="1"/>
  <c r="H16" i="1"/>
  <c r="H32" i="1" s="1"/>
  <c r="G37" i="1" l="1"/>
  <c r="H39" i="1" s="1"/>
  <c r="E40" i="1" s="1"/>
  <c r="H40" i="1" s="1"/>
  <c r="H46" i="1" l="1"/>
  <c r="E42" i="1"/>
  <c r="G42" i="1" s="1"/>
  <c r="G44" i="1" s="1"/>
  <c r="H45" i="1" s="1"/>
  <c r="H47" i="1" s="1"/>
  <c r="M45" i="1"/>
  <c r="M46" i="1" s="1"/>
  <c r="H48" i="1" l="1"/>
  <c r="H49" i="1" s="1"/>
  <c r="H68" i="1" l="1"/>
  <c r="H70" i="1" l="1"/>
  <c r="H71" i="1" s="1"/>
  <c r="E81" i="1"/>
  <c r="E83" i="1" s="1"/>
  <c r="E85" i="1" l="1"/>
  <c r="E87" i="1"/>
  <c r="E73" i="1"/>
  <c r="F73" i="1" s="1"/>
  <c r="G73" i="1" s="1"/>
  <c r="H73" i="1" s="1"/>
  <c r="E74" i="1"/>
  <c r="F74" i="1" s="1"/>
  <c r="G74" i="1" s="1"/>
  <c r="H74" i="1" s="1"/>
  <c r="E76" i="1"/>
  <c r="F76" i="1" s="1"/>
  <c r="G76" i="1" s="1"/>
  <c r="H76" i="1" s="1"/>
  <c r="E75" i="1"/>
  <c r="F75" i="1" s="1"/>
  <c r="G75" i="1" s="1"/>
  <c r="H75" i="1" s="1"/>
  <c r="H78" i="1" l="1"/>
  <c r="F87" i="1"/>
  <c r="H81" i="1" s="1"/>
  <c r="H82" i="1" l="1"/>
  <c r="H83" i="1" s="1"/>
  <c r="K75" i="1"/>
  <c r="K76" i="1" s="1"/>
  <c r="E89" i="1"/>
  <c r="E90" i="1" s="1"/>
  <c r="E91" i="1" s="1"/>
  <c r="F91" i="1" s="1"/>
  <c r="H84" i="1" s="1"/>
  <c r="H85" i="1" s="1"/>
  <c r="H86" i="1" s="1"/>
  <c r="H87" i="1" s="1"/>
  <c r="H90" i="1" l="1"/>
  <c r="K88" i="1" l="1"/>
  <c r="K89" i="1" s="1"/>
  <c r="H66" i="1"/>
  <c r="H50" i="1" s="1"/>
  <c r="H52" i="1" s="1"/>
  <c r="H57" i="1" s="1"/>
  <c r="B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RATHORE</author>
  </authors>
  <commentList>
    <comment ref="I2" authorId="0" shapeId="0" xr:uid="{5D291392-4F48-45AF-9CCB-AED2A039A096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 shapeId="0" xr:uid="{2F6D7C03-A388-477A-B1A0-05B9C7B1686E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7" authorId="0" shapeId="0" xr:uid="{487B72E2-468C-4F0F-93E8-FE4A8349C33E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<sst xmlns="http://schemas.openxmlformats.org/spreadsheetml/2006/main" count="186" uniqueCount="166">
  <si>
    <t>Dr. V.K. Singhania's Book</t>
  </si>
  <si>
    <t xml:space="preserve">A S S E S S M E N T   Y E A R  :  2 0 2 2 - 2 3 </t>
  </si>
  <si>
    <t xml:space="preserve">Case13  (Pension, SOP &amp; Let Out, Interest, NSCs, Gift, NPS) </t>
  </si>
  <si>
    <t>Filing Date</t>
  </si>
  <si>
    <t>67th Edition:  August-2022</t>
  </si>
  <si>
    <t>Case Study-13</t>
  </si>
  <si>
    <t>Pg 563</t>
  </si>
  <si>
    <t xml:space="preserve">Rohit Virmani </t>
  </si>
  <si>
    <t xml:space="preserve">58 yrs </t>
  </si>
  <si>
    <t>Resident of Haryana</t>
  </si>
  <si>
    <r>
      <t xml:space="preserve">SALARIES </t>
    </r>
    <r>
      <rPr>
        <sz val="10"/>
        <color theme="1"/>
        <rFont val="Arial"/>
        <family val="2"/>
      </rPr>
      <t>U/S 15-17</t>
    </r>
  </si>
  <si>
    <t>Amount (Rs.)</t>
  </si>
  <si>
    <t xml:space="preserve">Pension </t>
  </si>
  <si>
    <t xml:space="preserve">Due date </t>
  </si>
  <si>
    <t>Sec 17(1)</t>
  </si>
  <si>
    <t xml:space="preserve">Basic Salary and Allowances / Pension </t>
  </si>
  <si>
    <t>Sec 17(2)</t>
  </si>
  <si>
    <t xml:space="preserve">Value of Perquisites </t>
  </si>
  <si>
    <t>Calculations</t>
  </si>
  <si>
    <t>Sec 17(3)</t>
  </si>
  <si>
    <t xml:space="preserve">Profit in lieu of Salary </t>
  </si>
  <si>
    <t xml:space="preserve">Gross Salary </t>
  </si>
  <si>
    <t>Late Fees</t>
  </si>
  <si>
    <t>Sec 10</t>
  </si>
  <si>
    <t xml:space="preserve">Less Exempt Allowances </t>
  </si>
  <si>
    <t>Aug-Dec 22</t>
  </si>
  <si>
    <t xml:space="preserve">Net Salary </t>
  </si>
  <si>
    <t>Sec 16(ia)</t>
  </si>
  <si>
    <t>Less Standard  Deduction</t>
  </si>
  <si>
    <r>
      <t xml:space="preserve">HOUSE PROPERTY </t>
    </r>
    <r>
      <rPr>
        <sz val="10"/>
        <color theme="1"/>
        <rFont val="Arial"/>
        <family val="2"/>
      </rPr>
      <t>U/S 22-27</t>
    </r>
  </si>
  <si>
    <t>Indore</t>
  </si>
  <si>
    <t>Gross Annual Value  (Let-Out)</t>
  </si>
  <si>
    <t xml:space="preserve">Less  Municipal Taxes Paid </t>
  </si>
  <si>
    <t>Not paid by owner</t>
  </si>
  <si>
    <t>Let-Out: 1826, Gold Diamond Street, Indore-453111</t>
  </si>
  <si>
    <t xml:space="preserve">Rent Received </t>
  </si>
  <si>
    <t>Sec 24</t>
  </si>
  <si>
    <t xml:space="preserve">LESS: Deductions </t>
  </si>
  <si>
    <t>Std Ded 30%</t>
  </si>
  <si>
    <t xml:space="preserve">Municipal Taxes Paid by Tenant </t>
  </si>
  <si>
    <t xml:space="preserve">Intt on H  Loan </t>
  </si>
  <si>
    <t xml:space="preserve">Intt on Loan to acquire the Property </t>
  </si>
  <si>
    <t>Kolkata</t>
  </si>
  <si>
    <t xml:space="preserve">Annual Value  (SOP) </t>
  </si>
  <si>
    <t xml:space="preserve">Nil </t>
  </si>
  <si>
    <t>SOP: 815/11, Navneet Rd, kalakar Street, Kolkata-700007</t>
  </si>
  <si>
    <t xml:space="preserve">Intt on Loan for renewal of  the Property </t>
  </si>
  <si>
    <t xml:space="preserve">(FY 2019-20) </t>
  </si>
  <si>
    <t xml:space="preserve">Renewal </t>
  </si>
  <si>
    <t>Max 30000</t>
  </si>
  <si>
    <r>
      <t xml:space="preserve">CAPITAL GAINS </t>
    </r>
    <r>
      <rPr>
        <sz val="10"/>
        <color theme="1"/>
        <rFont val="Arial"/>
        <family val="2"/>
      </rPr>
      <t>U/S 45 - 55</t>
    </r>
  </si>
  <si>
    <t>SHORT TERM CAPITAL GAIN</t>
  </si>
  <si>
    <t>S B Intt</t>
  </si>
  <si>
    <t>LONG TERM CAPITAL GAIN</t>
  </si>
  <si>
    <t>Intt on Time Deposits with Govt Comp</t>
  </si>
  <si>
    <r>
      <t xml:space="preserve">OTHER SOURCES </t>
    </r>
    <r>
      <rPr>
        <sz val="10"/>
        <color theme="1"/>
        <rFont val="Arial"/>
        <family val="2"/>
      </rPr>
      <t>U/S 56-59</t>
    </r>
  </si>
  <si>
    <t xml:space="preserve">Gifts Received </t>
  </si>
  <si>
    <t xml:space="preserve">Saving Bank Interest </t>
  </si>
  <si>
    <t xml:space="preserve">Chacha / Tau ji  </t>
  </si>
  <si>
    <t>Intt on Time Deposits with Comp</t>
  </si>
  <si>
    <t xml:space="preserve">Wife (Lugai) </t>
  </si>
  <si>
    <t>Accrued Intt on NSCs</t>
  </si>
  <si>
    <t>Rs. 80000 * .0864</t>
  </si>
  <si>
    <t xml:space="preserve">Dost (Wedding Anniversary) </t>
  </si>
  <si>
    <t xml:space="preserve">Taxable </t>
  </si>
  <si>
    <t xml:space="preserve">Gift from Non-Relatives (Wedding Anniversary) </t>
  </si>
  <si>
    <t>Accrued Intt on NSCs  (17-03-2020) Rs. 80000</t>
  </si>
  <si>
    <t xml:space="preserve">(Rs. 8.64 per 100) </t>
  </si>
  <si>
    <t>GROSS TOTAL INCOME</t>
  </si>
  <si>
    <t xml:space="preserve">LESS: DEDUCTIONS UNDER CHAPTER VI-A </t>
  </si>
  <si>
    <t xml:space="preserve">Sec  80C </t>
  </si>
  <si>
    <t>PUBLIC PROVIDENT FUND</t>
  </si>
  <si>
    <t>Public Prov Fund</t>
  </si>
  <si>
    <t>Tuition Fees - 2 Children</t>
  </si>
  <si>
    <t>Tuition Fees of Two Children</t>
  </si>
  <si>
    <t>ACCRUED INTT ON NSCs</t>
  </si>
  <si>
    <t>New Pension Scheme</t>
  </si>
  <si>
    <r>
      <t xml:space="preserve">Sec  80CCD(1) </t>
    </r>
    <r>
      <rPr>
        <sz val="9"/>
        <color theme="1"/>
        <rFont val="Arial"/>
        <family val="2"/>
      </rPr>
      <t>NPS</t>
    </r>
  </si>
  <si>
    <t xml:space="preserve">NSCs Purchased (17-03-20) </t>
  </si>
  <si>
    <r>
      <t xml:space="preserve">Sec  80CCD(1B) </t>
    </r>
    <r>
      <rPr>
        <sz val="9"/>
        <color theme="1"/>
        <rFont val="Arial"/>
        <family val="2"/>
      </rPr>
      <t>New Pension Scheme  Max 50000</t>
    </r>
  </si>
  <si>
    <t xml:space="preserve">NSCs Purchased (01-04-22) </t>
  </si>
  <si>
    <t>Sec 80TTA</t>
  </si>
  <si>
    <t>SB Interest</t>
  </si>
  <si>
    <t xml:space="preserve">TOTAL  INCOME </t>
  </si>
  <si>
    <t>\</t>
  </si>
  <si>
    <t>Rounding Off u/s 288A</t>
  </si>
  <si>
    <t xml:space="preserve">Income tax </t>
  </si>
  <si>
    <t xml:space="preserve">TAX ON TOTAL INCOME </t>
  </si>
  <si>
    <t xml:space="preserve">INCOME  </t>
  </si>
  <si>
    <t>RATE</t>
  </si>
  <si>
    <t>TAX</t>
  </si>
  <si>
    <t>250,000  to  500,000</t>
  </si>
  <si>
    <t>NORMAL INCOME</t>
  </si>
  <si>
    <t>500,000 to 1000,000</t>
  </si>
  <si>
    <t>SPECIAL INCOME</t>
  </si>
  <si>
    <t>Sec 87A</t>
  </si>
  <si>
    <r>
      <t xml:space="preserve">LESS : REBATE  </t>
    </r>
    <r>
      <rPr>
        <sz val="8"/>
        <color theme="1"/>
        <rFont val="Arial Narrow"/>
        <family val="2"/>
      </rPr>
      <t>(Rs. 12500, if Total Income upto Rs. 5 Lakhs)</t>
    </r>
  </si>
  <si>
    <t xml:space="preserve">      Above   1000,000</t>
  </si>
  <si>
    <r>
      <t xml:space="preserve">ADD : SURCHARGE  </t>
    </r>
    <r>
      <rPr>
        <sz val="8"/>
        <color theme="1"/>
        <rFont val="Arial"/>
        <family val="2"/>
      </rPr>
      <t>(10 % / 15% / 25% / 37%)</t>
    </r>
  </si>
  <si>
    <t xml:space="preserve">ADD : HEALTH &amp; EDUCATION CESS (4 % on Income Tax + Surcharge) </t>
  </si>
  <si>
    <t xml:space="preserve"> Income not exceeding Rs. 50 Lakhs </t>
  </si>
  <si>
    <t xml:space="preserve">Acq Cost </t>
  </si>
  <si>
    <t>Mkt Value</t>
  </si>
  <si>
    <r>
      <t>TOTAL TAX PAYABLE</t>
    </r>
    <r>
      <rPr>
        <sz val="10"/>
        <color theme="1"/>
        <rFont val="Arial"/>
        <family val="2"/>
      </rPr>
      <t xml:space="preserve"> (including Surcharge &amp; Cesses) </t>
    </r>
  </si>
  <si>
    <t>House Properties (2400000+2451000)</t>
  </si>
  <si>
    <t xml:space="preserve">ADD : INTEREST U/S 234A, 234B &amp; 234C </t>
  </si>
  <si>
    <t>Interest till the Month of making Video i.e Oct-2022</t>
  </si>
  <si>
    <t>Motor Cars (2008-09 &amp; 2019-20)</t>
  </si>
  <si>
    <t xml:space="preserve">ADD : Late Fees U/S 234F </t>
  </si>
  <si>
    <t>Aug-Dec 2022</t>
  </si>
  <si>
    <t xml:space="preserve">Bank </t>
  </si>
  <si>
    <t>TOTAL TAX AND INTEREST PAYABLE</t>
  </si>
  <si>
    <t>Cash</t>
  </si>
  <si>
    <t xml:space="preserve">TAX PAID U/S 199 : </t>
  </si>
  <si>
    <t xml:space="preserve">Advance Tax Paid  U/S 210 </t>
  </si>
  <si>
    <t>T. D. S.  U/S 194-I</t>
  </si>
  <si>
    <t>Tenant</t>
  </si>
  <si>
    <t xml:space="preserve">TDS-Tenant </t>
  </si>
  <si>
    <t>Self-Assessment Tax Paid</t>
  </si>
  <si>
    <t>Advance Tax paid on 01-04-2021</t>
  </si>
  <si>
    <t>Rounding Off u/s 288B</t>
  </si>
  <si>
    <t>Advance Tax paid on 01-10-2021</t>
  </si>
  <si>
    <t xml:space="preserve">Tax Cals by Dr SB Rathore, Former Associate Professor of Commerce;  42 yrs Teaching Experience (Oct-77 to Dec-19) in Shyam Lal College (University of Delhi) </t>
  </si>
  <si>
    <t>Advance Tax paid on 20-12-2021</t>
  </si>
  <si>
    <t>Website: www.taxclasses.in</t>
  </si>
  <si>
    <t xml:space="preserve">FaceBook: DrSB Rathore </t>
  </si>
  <si>
    <t>YouTube: Tax Doctor</t>
  </si>
  <si>
    <t>Self Assessment on 08-06-2022</t>
  </si>
  <si>
    <t>Part -B</t>
  </si>
  <si>
    <t>80C - 80GGC</t>
  </si>
  <si>
    <t>Part -C</t>
  </si>
  <si>
    <t>80H - 80RRB</t>
  </si>
  <si>
    <t>Part- CA</t>
  </si>
  <si>
    <t>80TTA, 80TTB</t>
  </si>
  <si>
    <t>Part-D</t>
  </si>
  <si>
    <t>80U</t>
  </si>
  <si>
    <t xml:space="preserve">Calculation  of Interest under Sections 234A, 234B &amp; 234C </t>
  </si>
  <si>
    <t>Total Interest</t>
  </si>
  <si>
    <t>Section 234C: In case of Non-Sr Citizen: If  Amount Exceeds Rs. 10000</t>
  </si>
  <si>
    <t>Total Tax, Surcharge &amp; Cess</t>
  </si>
  <si>
    <t>Less TDS by the Employer, Bank</t>
  </si>
  <si>
    <t xml:space="preserve">Liability for Advance tax </t>
  </si>
  <si>
    <t>Deposit Date</t>
  </si>
  <si>
    <t xml:space="preserve">Tax Amount </t>
  </si>
  <si>
    <t>Last Date</t>
  </si>
  <si>
    <t xml:space="preserve">Amount </t>
  </si>
  <si>
    <t>Round Down by 100</t>
  </si>
  <si>
    <t xml:space="preserve">Shortfall </t>
  </si>
  <si>
    <t>Interest</t>
  </si>
  <si>
    <t xml:space="preserve">Month </t>
  </si>
  <si>
    <t>Interest u/s 234C</t>
  </si>
  <si>
    <t xml:space="preserve">Nov </t>
  </si>
  <si>
    <t xml:space="preserve">Dec </t>
  </si>
  <si>
    <t>Section 234B:  If  Amount Exceeds Rs. 10000 (Less than 90 %.....)</t>
  </si>
  <si>
    <t xml:space="preserve"> Tax Liability after TDS</t>
  </si>
  <si>
    <t>Advance Tax   till 31-03-2022</t>
  </si>
  <si>
    <t>Interest u/s 234B</t>
  </si>
  <si>
    <t xml:space="preserve">Tax Liability after Advance Tax </t>
  </si>
  <si>
    <t xml:space="preserve">Self-Assessment Tax Paid </t>
  </si>
  <si>
    <t xml:space="preserve">Adjusted for  Intt u/s 234B &amp; 234C  </t>
  </si>
  <si>
    <t xml:space="preserve">Net Amt Paid </t>
  </si>
  <si>
    <t>Tax Liability after Self-Assessment Tax</t>
  </si>
  <si>
    <t xml:space="preserve">Section 234A: </t>
  </si>
  <si>
    <t>Less Advance tax paid by 31-03-2021</t>
  </si>
  <si>
    <t>Interest u/s 234A</t>
  </si>
  <si>
    <t>Add Interest u/s 234C till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</si>
</sst>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_ ;\-0\ "/>
    <numFmt numFmtId="166" formatCode="0.0000%"/>
    <numFmt numFmtId="167" formatCode="[$-409]d\-mmm\-yy;@"/>
  </numFmts>
  <fonts count="67" x14ac:knownFonts="1">
    <font>
      <sz val="10"/>
      <name val="Arial"/>
    </font>
    <font>
      <sz val="10"/>
      <name val="Arial"/>
      <family val="2"/>
    </font>
    <font>
      <b/>
      <sz val="8"/>
      <color rgb="FF2B0CE4"/>
      <name val="Arial"/>
      <family val="2"/>
    </font>
    <font>
      <sz val="11"/>
      <color theme="1"/>
      <name val="Arial"/>
      <family val="2"/>
    </font>
    <font>
      <sz val="10"/>
      <color rgb="FFC00000"/>
      <name val="Arial Narrow"/>
      <family val="2"/>
    </font>
    <font>
      <sz val="9"/>
      <color rgb="FF0000FF"/>
      <name val="Arial"/>
      <family val="2"/>
    </font>
    <font>
      <b/>
      <sz val="8"/>
      <color rgb="FFC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FF"/>
      <name val="Arial"/>
      <family val="2"/>
    </font>
    <font>
      <sz val="9"/>
      <color rgb="FFC00000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name val="Arial"/>
      <family val="2"/>
    </font>
    <font>
      <i/>
      <sz val="9"/>
      <color theme="1"/>
      <name val="Arial"/>
      <family val="2"/>
    </font>
    <font>
      <b/>
      <sz val="8"/>
      <color rgb="FF7030A0"/>
      <name val="Arial"/>
      <family val="2"/>
    </font>
    <font>
      <sz val="9"/>
      <color rgb="FF7030A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sz val="9"/>
      <name val="Arial"/>
      <family val="2"/>
    </font>
    <font>
      <sz val="10"/>
      <color rgb="FF7030A0"/>
      <name val="Arial"/>
      <family val="2"/>
    </font>
    <font>
      <sz val="10"/>
      <color theme="9" tint="-0.499984740745262"/>
      <name val="Arial"/>
      <family val="2"/>
    </font>
    <font>
      <sz val="10"/>
      <color theme="7" tint="-0.249977111117893"/>
      <name val="Arial"/>
      <family val="2"/>
    </font>
    <font>
      <i/>
      <sz val="10"/>
      <color theme="7" tint="-0.249977111117893"/>
      <name val="Arial"/>
      <family val="2"/>
    </font>
    <font>
      <u/>
      <sz val="10"/>
      <color theme="1"/>
      <name val="Arial"/>
      <family val="2"/>
    </font>
    <font>
      <sz val="8"/>
      <color theme="1"/>
      <name val="Arial Narrow"/>
      <family val="2"/>
    </font>
    <font>
      <b/>
      <sz val="10"/>
      <color rgb="FF0000FF"/>
      <name val="Arial"/>
      <family val="2"/>
    </font>
    <font>
      <i/>
      <u/>
      <sz val="10"/>
      <color theme="1"/>
      <name val="Arial"/>
      <family val="2"/>
    </font>
    <font>
      <sz val="10"/>
      <color theme="3" tint="-0.249977111117893"/>
      <name val="Arial"/>
      <family val="2"/>
    </font>
    <font>
      <sz val="8"/>
      <color rgb="FFC00000"/>
      <name val="Arial"/>
      <family val="2"/>
    </font>
    <font>
      <b/>
      <sz val="9"/>
      <color rgb="FF0000FF"/>
      <name val="Arial"/>
      <family val="2"/>
    </font>
    <font>
      <sz val="11"/>
      <color rgb="FF515656"/>
      <name val="Arial"/>
      <family val="2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rgb="FFC00000"/>
      <name val="Arial Narrow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8"/>
      <color theme="0"/>
      <name val="Arial Narrow"/>
      <family val="2"/>
    </font>
    <font>
      <b/>
      <sz val="10"/>
      <color theme="0"/>
      <name val="Arial"/>
      <family val="2"/>
    </font>
    <font>
      <sz val="10"/>
      <color theme="1"/>
      <name val="Arial Narrow"/>
      <family val="2"/>
    </font>
    <font>
      <sz val="9"/>
      <color rgb="FF00B0F0"/>
      <name val="Arial"/>
      <family val="2"/>
    </font>
    <font>
      <sz val="9"/>
      <color theme="1"/>
      <name val="Arial Narrow"/>
      <family val="2"/>
    </font>
    <font>
      <b/>
      <sz val="9"/>
      <color theme="7" tint="-0.249977111117893"/>
      <name val="Arial"/>
      <family val="2"/>
    </font>
    <font>
      <sz val="8"/>
      <color rgb="FF2B0CE4"/>
      <name val="Arial Narrow"/>
      <family val="2"/>
    </font>
    <font>
      <sz val="8"/>
      <name val="Arial"/>
      <family val="2"/>
    </font>
    <font>
      <sz val="9"/>
      <color theme="9" tint="-0.249977111117893"/>
      <name val="Arial"/>
      <family val="2"/>
    </font>
    <font>
      <sz val="8"/>
      <name val="Arial Narrow"/>
      <family val="2"/>
    </font>
    <font>
      <sz val="8"/>
      <color theme="5" tint="-0.249977111117893"/>
      <name val="Arial Narrow"/>
      <family val="2"/>
    </font>
    <font>
      <sz val="8"/>
      <color rgb="FF7030A0"/>
      <name val="Arial Narrow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9"/>
      <color theme="9" tint="-0.249977111117893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00B05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2" fillId="0" borderId="1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/>
    <xf numFmtId="0" fontId="6" fillId="0" borderId="7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7" fillId="0" borderId="8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5" fontId="10" fillId="0" borderId="8" xfId="1" applyNumberFormat="1" applyFont="1" applyBorder="1" applyAlignment="1">
      <alignment horizontal="center"/>
    </xf>
    <xf numFmtId="1" fontId="11" fillId="2" borderId="9" xfId="0" applyNumberFormat="1" applyFont="1" applyFill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5" fontId="5" fillId="0" borderId="10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shrinkToFit="1"/>
    </xf>
    <xf numFmtId="0" fontId="14" fillId="0" borderId="0" xfId="0" applyFont="1"/>
    <xf numFmtId="0" fontId="13" fillId="0" borderId="11" xfId="0" applyFont="1" applyBorder="1"/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1" fontId="13" fillId="0" borderId="0" xfId="0" applyNumberFormat="1" applyFont="1"/>
    <xf numFmtId="0" fontId="10" fillId="0" borderId="10" xfId="0" applyFont="1" applyBorder="1" applyAlignment="1">
      <alignment horizontal="center"/>
    </xf>
    <xf numFmtId="0" fontId="8" fillId="0" borderId="4" xfId="0" applyFont="1" applyBorder="1" applyAlignment="1">
      <alignment shrinkToFit="1"/>
    </xf>
    <xf numFmtId="0" fontId="8" fillId="0" borderId="0" xfId="0" applyFont="1"/>
    <xf numFmtId="0" fontId="7" fillId="0" borderId="0" xfId="0" applyFont="1" applyAlignment="1">
      <alignment horizontal="left"/>
    </xf>
    <xf numFmtId="1" fontId="13" fillId="3" borderId="11" xfId="0" applyNumberFormat="1" applyFont="1" applyFill="1" applyBorder="1"/>
    <xf numFmtId="1" fontId="16" fillId="0" borderId="0" xfId="0" applyNumberFormat="1" applyFont="1"/>
    <xf numFmtId="1" fontId="16" fillId="0" borderId="5" xfId="0" applyNumberFormat="1" applyFont="1" applyBorder="1"/>
    <xf numFmtId="15" fontId="10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" fontId="13" fillId="3" borderId="12" xfId="0" applyNumberFormat="1" applyFont="1" applyFill="1" applyBorder="1"/>
    <xf numFmtId="0" fontId="13" fillId="0" borderId="0" xfId="0" applyFont="1" applyAlignment="1">
      <alignment horizontal="right"/>
    </xf>
    <xf numFmtId="17" fontId="7" fillId="0" borderId="13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1" fontId="13" fillId="0" borderId="14" xfId="0" applyNumberFormat="1" applyFont="1" applyBorder="1"/>
    <xf numFmtId="0" fontId="18" fillId="4" borderId="6" xfId="0" applyFont="1" applyFill="1" applyBorder="1" applyAlignment="1">
      <alignment horizontal="center"/>
    </xf>
    <xf numFmtId="0" fontId="19" fillId="0" borderId="0" xfId="0" applyFont="1"/>
    <xf numFmtId="17" fontId="20" fillId="0" borderId="10" xfId="0" applyNumberFormat="1" applyFont="1" applyBorder="1" applyAlignment="1">
      <alignment horizontal="center"/>
    </xf>
    <xf numFmtId="1" fontId="13" fillId="0" borderId="11" xfId="0" applyNumberFormat="1" applyFont="1" applyBorder="1"/>
    <xf numFmtId="0" fontId="21" fillId="0" borderId="13" xfId="0" applyFont="1" applyBorder="1" applyAlignment="1">
      <alignment horizontal="center"/>
    </xf>
    <xf numFmtId="0" fontId="7" fillId="0" borderId="0" xfId="0" applyFont="1"/>
    <xf numFmtId="0" fontId="22" fillId="0" borderId="0" xfId="0" applyFont="1"/>
    <xf numFmtId="0" fontId="5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3" fillId="5" borderId="0" xfId="0" applyFont="1" applyFill="1" applyAlignment="1">
      <alignment horizontal="right"/>
    </xf>
    <xf numFmtId="1" fontId="16" fillId="0" borderId="15" xfId="0" applyNumberFormat="1" applyFont="1" applyBorder="1"/>
    <xf numFmtId="0" fontId="24" fillId="0" borderId="0" xfId="0" applyFont="1"/>
    <xf numFmtId="0" fontId="13" fillId="0" borderId="0" xfId="0" applyFont="1" applyAlignment="1">
      <alignment horizontal="left"/>
    </xf>
    <xf numFmtId="0" fontId="13" fillId="5" borderId="12" xfId="0" applyFont="1" applyFill="1" applyBorder="1" applyAlignment="1">
      <alignment horizontal="right"/>
    </xf>
    <xf numFmtId="0" fontId="26" fillId="0" borderId="0" xfId="0" applyFont="1"/>
    <xf numFmtId="1" fontId="1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3" fillId="5" borderId="16" xfId="0" applyFont="1" applyFill="1" applyBorder="1"/>
    <xf numFmtId="0" fontId="13" fillId="0" borderId="12" xfId="0" applyFont="1" applyBorder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vertical="top"/>
    </xf>
    <xf numFmtId="0" fontId="27" fillId="0" borderId="0" xfId="0" applyFont="1"/>
    <xf numFmtId="0" fontId="10" fillId="0" borderId="0" xfId="0" applyFont="1" applyAlignment="1">
      <alignment horizontal="center"/>
    </xf>
    <xf numFmtId="0" fontId="13" fillId="5" borderId="0" xfId="0" applyFont="1" applyFill="1"/>
    <xf numFmtId="0" fontId="22" fillId="0" borderId="5" xfId="0" applyFont="1" applyBorder="1" applyAlignment="1">
      <alignment horizontal="center"/>
    </xf>
    <xf numFmtId="0" fontId="13" fillId="5" borderId="12" xfId="0" applyFont="1" applyFill="1" applyBorder="1"/>
    <xf numFmtId="0" fontId="29" fillId="0" borderId="0" xfId="0" applyFont="1"/>
    <xf numFmtId="0" fontId="17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1" fontId="13" fillId="5" borderId="0" xfId="0" applyNumberFormat="1" applyFont="1" applyFill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30" fillId="0" borderId="0" xfId="0" applyFont="1" applyAlignment="1">
      <alignment horizontal="center"/>
    </xf>
    <xf numFmtId="1" fontId="16" fillId="0" borderId="17" xfId="0" applyNumberFormat="1" applyFont="1" applyBorder="1"/>
    <xf numFmtId="1" fontId="31" fillId="0" borderId="18" xfId="0" applyNumberFormat="1" applyFont="1" applyBorder="1"/>
    <xf numFmtId="1" fontId="31" fillId="0" borderId="5" xfId="0" applyNumberFormat="1" applyFont="1" applyBorder="1"/>
    <xf numFmtId="0" fontId="32" fillId="0" borderId="0" xfId="0" applyFont="1"/>
    <xf numFmtId="0" fontId="33" fillId="0" borderId="0" xfId="0" applyFont="1"/>
    <xf numFmtId="1" fontId="34" fillId="0" borderId="0" xfId="0" applyNumberFormat="1" applyFont="1" applyAlignment="1">
      <alignment horizontal="center" vertical="top"/>
    </xf>
    <xf numFmtId="1" fontId="13" fillId="5" borderId="16" xfId="0" applyNumberFormat="1" applyFont="1" applyFill="1" applyBorder="1"/>
    <xf numFmtId="1" fontId="34" fillId="0" borderId="0" xfId="0" applyNumberFormat="1" applyFont="1" applyAlignment="1">
      <alignment horizontal="center" vertical="center"/>
    </xf>
    <xf numFmtId="1" fontId="13" fillId="5" borderId="11" xfId="0" applyNumberFormat="1" applyFont="1" applyFill="1" applyBorder="1"/>
    <xf numFmtId="0" fontId="9" fillId="4" borderId="0" xfId="0" applyFont="1" applyFill="1"/>
    <xf numFmtId="0" fontId="33" fillId="4" borderId="0" xfId="0" applyFont="1" applyFill="1"/>
    <xf numFmtId="0" fontId="35" fillId="0" borderId="4" xfId="0" applyFont="1" applyBorder="1" applyAlignment="1">
      <alignment horizontal="center"/>
    </xf>
    <xf numFmtId="0" fontId="36" fillId="0" borderId="0" xfId="0" applyFont="1"/>
    <xf numFmtId="0" fontId="16" fillId="0" borderId="0" xfId="0" applyFont="1" applyAlignment="1">
      <alignment vertical="center"/>
    </xf>
    <xf numFmtId="1" fontId="30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" fontId="16" fillId="4" borderId="19" xfId="0" applyNumberFormat="1" applyFont="1" applyFill="1" applyBorder="1"/>
    <xf numFmtId="1" fontId="16" fillId="4" borderId="20" xfId="0" applyNumberFormat="1" applyFont="1" applyFill="1" applyBorder="1"/>
    <xf numFmtId="0" fontId="1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7" fillId="0" borderId="15" xfId="0" applyFont="1" applyBorder="1"/>
    <xf numFmtId="0" fontId="7" fillId="0" borderId="5" xfId="0" applyFont="1" applyBorder="1"/>
    <xf numFmtId="0" fontId="13" fillId="0" borderId="0" xfId="0" applyFont="1" applyAlignment="1">
      <alignment horizontal="left" indent="1"/>
    </xf>
    <xf numFmtId="9" fontId="13" fillId="0" borderId="0" xfId="0" applyNumberFormat="1" applyFont="1" applyAlignment="1">
      <alignment horizontal="center"/>
    </xf>
    <xf numFmtId="0" fontId="8" fillId="0" borderId="0" xfId="0" applyFont="1" applyAlignment="1">
      <alignment shrinkToFi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13" fillId="0" borderId="15" xfId="0" applyFont="1" applyBorder="1"/>
    <xf numFmtId="0" fontId="13" fillId="0" borderId="5" xfId="0" applyFont="1" applyBorder="1"/>
    <xf numFmtId="1" fontId="16" fillId="0" borderId="15" xfId="0" applyNumberFormat="1" applyFont="1" applyBorder="1" applyAlignment="1">
      <alignment horizontal="right"/>
    </xf>
    <xf numFmtId="1" fontId="16" fillId="0" borderId="5" xfId="0" applyNumberFormat="1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1" fontId="13" fillId="0" borderId="15" xfId="0" applyNumberFormat="1" applyFont="1" applyBorder="1" applyAlignment="1">
      <alignment horizontal="right"/>
    </xf>
    <xf numFmtId="1" fontId="13" fillId="0" borderId="5" xfId="0" applyNumberFormat="1" applyFont="1" applyBorder="1" applyAlignment="1">
      <alignment horizontal="right"/>
    </xf>
    <xf numFmtId="9" fontId="9" fillId="0" borderId="0" xfId="0" applyNumberFormat="1" applyFont="1" applyAlignment="1">
      <alignment horizontal="center"/>
    </xf>
    <xf numFmtId="1" fontId="13" fillId="0" borderId="21" xfId="0" applyNumberFormat="1" applyFont="1" applyBorder="1" applyAlignment="1">
      <alignment horizontal="right"/>
    </xf>
    <xf numFmtId="1" fontId="13" fillId="0" borderId="17" xfId="0" applyNumberFormat="1" applyFont="1" applyBorder="1" applyAlignment="1">
      <alignment horizontal="right"/>
    </xf>
    <xf numFmtId="0" fontId="38" fillId="0" borderId="0" xfId="0" applyFont="1"/>
    <xf numFmtId="0" fontId="16" fillId="6" borderId="22" xfId="0" applyFont="1" applyFill="1" applyBorder="1"/>
    <xf numFmtId="0" fontId="5" fillId="7" borderId="0" xfId="0" applyFont="1" applyFill="1"/>
    <xf numFmtId="0" fontId="10" fillId="7" borderId="0" xfId="0" applyFont="1" applyFill="1" applyAlignment="1">
      <alignment horizontal="center"/>
    </xf>
    <xf numFmtId="164" fontId="10" fillId="7" borderId="0" xfId="2" applyNumberFormat="1" applyFont="1" applyFill="1" applyAlignment="1">
      <alignment horizontal="right"/>
    </xf>
    <xf numFmtId="0" fontId="10" fillId="7" borderId="0" xfId="0" applyFont="1" applyFill="1"/>
    <xf numFmtId="165" fontId="10" fillId="7" borderId="0" xfId="2" applyNumberFormat="1" applyFont="1" applyFill="1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" fontId="41" fillId="0" borderId="15" xfId="0" applyNumberFormat="1" applyFont="1" applyBorder="1" applyAlignment="1">
      <alignment horizontal="right"/>
    </xf>
    <xf numFmtId="165" fontId="10" fillId="7" borderId="0" xfId="2" applyNumberFormat="1" applyFont="1" applyFill="1"/>
    <xf numFmtId="0" fontId="42" fillId="0" borderId="0" xfId="0" applyFont="1" applyAlignment="1">
      <alignment horizontal="center"/>
    </xf>
    <xf numFmtId="1" fontId="13" fillId="0" borderId="21" xfId="0" applyNumberFormat="1" applyFont="1" applyBorder="1"/>
    <xf numFmtId="1" fontId="13" fillId="0" borderId="17" xfId="0" applyNumberFormat="1" applyFont="1" applyBorder="1"/>
    <xf numFmtId="0" fontId="43" fillId="0" borderId="0" xfId="0" applyFont="1" applyAlignment="1">
      <alignment horizontal="center"/>
    </xf>
    <xf numFmtId="1" fontId="44" fillId="0" borderId="15" xfId="0" applyNumberFormat="1" applyFont="1" applyBorder="1"/>
    <xf numFmtId="15" fontId="5" fillId="0" borderId="0" xfId="1" applyNumberFormat="1" applyFont="1" applyAlignment="1">
      <alignment horizontal="center"/>
    </xf>
    <xf numFmtId="0" fontId="45" fillId="0" borderId="0" xfId="0" applyFont="1" applyAlignment="1">
      <alignment horizontal="left" shrinkToFit="1"/>
    </xf>
    <xf numFmtId="0" fontId="45" fillId="0" borderId="0" xfId="0" applyFont="1" applyAlignment="1">
      <alignment horizontal="left" shrinkToFit="1"/>
    </xf>
    <xf numFmtId="1" fontId="46" fillId="0" borderId="0" xfId="0" applyNumberFormat="1" applyFont="1" applyAlignment="1">
      <alignment horizontal="center"/>
    </xf>
    <xf numFmtId="0" fontId="47" fillId="0" borderId="0" xfId="0" applyFont="1" applyAlignment="1">
      <alignment horizontal="left" shrinkToFit="1"/>
    </xf>
    <xf numFmtId="1" fontId="8" fillId="0" borderId="23" xfId="0" applyNumberFormat="1" applyFont="1" applyBorder="1" applyAlignment="1">
      <alignment shrinkToFit="1"/>
    </xf>
    <xf numFmtId="0" fontId="16" fillId="0" borderId="24" xfId="0" applyFont="1" applyBorder="1"/>
    <xf numFmtId="0" fontId="13" fillId="0" borderId="24" xfId="0" applyFont="1" applyBorder="1"/>
    <xf numFmtId="0" fontId="48" fillId="0" borderId="24" xfId="0" applyFont="1" applyBorder="1"/>
    <xf numFmtId="0" fontId="30" fillId="0" borderId="24" xfId="0" applyFont="1" applyBorder="1" applyAlignment="1">
      <alignment horizontal="left"/>
    </xf>
    <xf numFmtId="0" fontId="13" fillId="0" borderId="24" xfId="0" applyFont="1" applyBorder="1" applyAlignment="1">
      <alignment horizontal="center"/>
    </xf>
    <xf numFmtId="1" fontId="41" fillId="6" borderId="25" xfId="1" applyNumberFormat="1" applyFont="1" applyFill="1" applyBorder="1"/>
    <xf numFmtId="1" fontId="16" fillId="4" borderId="26" xfId="1" applyNumberFormat="1" applyFont="1" applyFill="1" applyBorder="1"/>
    <xf numFmtId="0" fontId="49" fillId="0" borderId="1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14" fontId="50" fillId="0" borderId="7" xfId="0" applyNumberFormat="1" applyFont="1" applyBorder="1" applyAlignment="1">
      <alignment horizontal="center" shrinkToFit="1"/>
    </xf>
    <xf numFmtId="0" fontId="50" fillId="0" borderId="8" xfId="0" applyFont="1" applyBorder="1" applyAlignment="1">
      <alignment horizontal="center" shrinkToFit="1"/>
    </xf>
    <xf numFmtId="0" fontId="51" fillId="0" borderId="8" xfId="0" applyFont="1" applyBorder="1"/>
    <xf numFmtId="0" fontId="52" fillId="0" borderId="8" xfId="0" applyFont="1" applyBorder="1" applyAlignment="1">
      <alignment horizontal="center"/>
    </xf>
    <xf numFmtId="0" fontId="53" fillId="0" borderId="8" xfId="0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0" fontId="50" fillId="0" borderId="0" xfId="0" applyFont="1" applyAlignment="1">
      <alignment shrinkToFit="1"/>
    </xf>
    <xf numFmtId="0" fontId="50" fillId="0" borderId="0" xfId="0" applyFont="1"/>
    <xf numFmtId="0" fontId="24" fillId="0" borderId="0" xfId="0" applyFont="1" applyAlignment="1">
      <alignment horizontal="center"/>
    </xf>
    <xf numFmtId="0" fontId="55" fillId="0" borderId="0" xfId="1" applyFont="1" applyAlignment="1">
      <alignment horizontal="center"/>
    </xf>
    <xf numFmtId="1" fontId="24" fillId="0" borderId="0" xfId="0" applyNumberFormat="1" applyFont="1" applyAlignment="1">
      <alignment horizontal="left"/>
    </xf>
    <xf numFmtId="0" fontId="1" fillId="0" borderId="0" xfId="1" applyAlignment="1">
      <alignment horizontal="center"/>
    </xf>
    <xf numFmtId="1" fontId="24" fillId="0" borderId="0" xfId="0" applyNumberFormat="1" applyFont="1" applyAlignment="1">
      <alignment horizontal="center"/>
    </xf>
    <xf numFmtId="0" fontId="56" fillId="0" borderId="0" xfId="1" applyFont="1" applyAlignment="1">
      <alignment horizontal="center"/>
    </xf>
    <xf numFmtId="0" fontId="57" fillId="8" borderId="0" xfId="1" applyFont="1" applyFill="1"/>
    <xf numFmtId="0" fontId="41" fillId="8" borderId="0" xfId="1" applyFont="1" applyFill="1"/>
    <xf numFmtId="0" fontId="11" fillId="8" borderId="0" xfId="1" applyFont="1" applyFill="1"/>
    <xf numFmtId="1" fontId="16" fillId="8" borderId="0" xfId="1" applyNumberFormat="1" applyFont="1" applyFill="1"/>
    <xf numFmtId="0" fontId="58" fillId="4" borderId="0" xfId="0" applyFont="1" applyFill="1" applyAlignment="1">
      <alignment horizontal="center"/>
    </xf>
    <xf numFmtId="166" fontId="13" fillId="0" borderId="0" xfId="0" applyNumberFormat="1" applyFont="1" applyAlignment="1">
      <alignment horizontal="center"/>
    </xf>
    <xf numFmtId="0" fontId="59" fillId="0" borderId="0" xfId="1" applyFont="1"/>
    <xf numFmtId="0" fontId="1" fillId="0" borderId="0" xfId="1"/>
    <xf numFmtId="0" fontId="5" fillId="0" borderId="0" xfId="1" applyFont="1"/>
    <xf numFmtId="2" fontId="60" fillId="0" borderId="0" xfId="1" applyNumberFormat="1" applyFont="1"/>
    <xf numFmtId="0" fontId="24" fillId="0" borderId="0" xfId="1" applyFont="1"/>
    <xf numFmtId="1" fontId="1" fillId="0" borderId="0" xfId="1" applyNumberFormat="1"/>
    <xf numFmtId="1" fontId="13" fillId="0" borderId="22" xfId="0" applyNumberFormat="1" applyFont="1" applyBorder="1"/>
    <xf numFmtId="1" fontId="9" fillId="0" borderId="0" xfId="1" applyNumberFormat="1" applyFont="1"/>
    <xf numFmtId="0" fontId="2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" fontId="50" fillId="0" borderId="0" xfId="1" applyNumberFormat="1" applyFont="1" applyAlignment="1">
      <alignment horizontal="center" vertical="center" wrapText="1"/>
    </xf>
    <xf numFmtId="1" fontId="1" fillId="0" borderId="0" xfId="1" applyNumberFormat="1" applyAlignment="1">
      <alignment horizontal="center" vertical="center"/>
    </xf>
    <xf numFmtId="0" fontId="8" fillId="0" borderId="0" xfId="0" applyFont="1" applyAlignment="1">
      <alignment horizontal="center" shrinkToFit="1"/>
    </xf>
    <xf numFmtId="167" fontId="1" fillId="0" borderId="0" xfId="1" applyNumberFormat="1" applyAlignment="1">
      <alignment horizontal="center"/>
    </xf>
    <xf numFmtId="1" fontId="1" fillId="9" borderId="0" xfId="1" applyNumberFormat="1" applyFill="1"/>
    <xf numFmtId="1" fontId="1" fillId="0" borderId="0" xfId="1" applyNumberFormat="1" applyAlignment="1">
      <alignment horizontal="center"/>
    </xf>
    <xf numFmtId="2" fontId="61" fillId="0" borderId="0" xfId="1" applyNumberFormat="1" applyFont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/>
    <xf numFmtId="1" fontId="61" fillId="0" borderId="0" xfId="0" applyNumberFormat="1" applyFont="1" applyAlignment="1">
      <alignment horizontal="center"/>
    </xf>
    <xf numFmtId="2" fontId="1" fillId="0" borderId="0" xfId="1" applyNumberFormat="1"/>
    <xf numFmtId="2" fontId="1" fillId="0" borderId="0" xfId="1" applyNumberFormat="1" applyAlignment="1">
      <alignment horizontal="center"/>
    </xf>
    <xf numFmtId="1" fontId="41" fillId="0" borderId="22" xfId="1" applyNumberFormat="1" applyFont="1" applyBorder="1"/>
    <xf numFmtId="1" fontId="41" fillId="4" borderId="22" xfId="1" applyNumberFormat="1" applyFont="1" applyFill="1" applyBorder="1" applyAlignment="1">
      <alignment horizontal="center"/>
    </xf>
    <xf numFmtId="0" fontId="8" fillId="0" borderId="8" xfId="0" applyFont="1" applyBorder="1" applyAlignment="1">
      <alignment shrinkToFit="1"/>
    </xf>
    <xf numFmtId="0" fontId="1" fillId="0" borderId="8" xfId="1" applyBorder="1"/>
    <xf numFmtId="1" fontId="41" fillId="0" borderId="8" xfId="1" applyNumberFormat="1" applyFont="1" applyBorder="1"/>
    <xf numFmtId="2" fontId="41" fillId="0" borderId="0" xfId="1" applyNumberFormat="1" applyFont="1"/>
    <xf numFmtId="17" fontId="1" fillId="0" borderId="0" xfId="1" applyNumberFormat="1" applyAlignment="1">
      <alignment horizontal="center"/>
    </xf>
    <xf numFmtId="0" fontId="24" fillId="0" borderId="0" xfId="1" applyFont="1" applyAlignment="1">
      <alignment horizontal="left" indent="1"/>
    </xf>
    <xf numFmtId="1" fontId="1" fillId="0" borderId="22" xfId="1" applyNumberFormat="1" applyBorder="1"/>
    <xf numFmtId="9" fontId="5" fillId="0" borderId="0" xfId="1" applyNumberFormat="1" applyFont="1" applyAlignment="1">
      <alignment horizontal="center"/>
    </xf>
    <xf numFmtId="0" fontId="62" fillId="0" borderId="0" xfId="1" applyFont="1" applyAlignment="1">
      <alignment horizontal="left"/>
    </xf>
    <xf numFmtId="2" fontId="9" fillId="0" borderId="0" xfId="1" applyNumberFormat="1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15" fontId="8" fillId="0" borderId="0" xfId="0" applyNumberFormat="1" applyFont="1" applyAlignment="1">
      <alignment horizontal="center" shrinkToFit="1"/>
    </xf>
    <xf numFmtId="1" fontId="62" fillId="0" borderId="0" xfId="1" applyNumberFormat="1" applyFont="1" applyAlignment="1">
      <alignment horizontal="left"/>
    </xf>
    <xf numFmtId="1" fontId="63" fillId="0" borderId="0" xfId="1" applyNumberFormat="1" applyFont="1" applyAlignment="1">
      <alignment horizontal="left"/>
    </xf>
    <xf numFmtId="2" fontId="41" fillId="0" borderId="0" xfId="1" applyNumberFormat="1" applyFont="1" applyAlignment="1">
      <alignment horizontal="center"/>
    </xf>
    <xf numFmtId="1" fontId="62" fillId="0" borderId="0" xfId="1" applyNumberFormat="1" applyFont="1" applyAlignment="1">
      <alignment horizontal="right"/>
    </xf>
    <xf numFmtId="1" fontId="1" fillId="0" borderId="0" xfId="1" applyNumberFormat="1" applyAlignment="1">
      <alignment horizontal="right"/>
    </xf>
    <xf numFmtId="0" fontId="13" fillId="0" borderId="8" xfId="0" applyFont="1" applyBorder="1"/>
    <xf numFmtId="0" fontId="24" fillId="0" borderId="8" xfId="1" applyFont="1" applyBorder="1"/>
    <xf numFmtId="1" fontId="1" fillId="0" borderId="8" xfId="1" applyNumberFormat="1" applyBorder="1" applyAlignment="1">
      <alignment horizontal="right"/>
    </xf>
    <xf numFmtId="1" fontId="1" fillId="0" borderId="8" xfId="1" applyNumberFormat="1" applyBorder="1"/>
    <xf numFmtId="2" fontId="41" fillId="0" borderId="8" xfId="1" applyNumberFormat="1" applyFont="1" applyBorder="1" applyAlignment="1">
      <alignment horizontal="center"/>
    </xf>
    <xf numFmtId="14" fontId="1" fillId="0" borderId="0" xfId="1" applyNumberFormat="1" applyAlignment="1">
      <alignment horizontal="center"/>
    </xf>
    <xf numFmtId="2" fontId="64" fillId="0" borderId="0" xfId="1" applyNumberFormat="1" applyFont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0" applyFont="1"/>
    <xf numFmtId="1" fontId="64" fillId="0" borderId="0" xfId="0" applyNumberFormat="1" applyFont="1" applyAlignment="1">
      <alignment horizontal="center"/>
    </xf>
    <xf numFmtId="17" fontId="1" fillId="0" borderId="0" xfId="1" applyNumberFormat="1"/>
  </cellXfs>
  <cellStyles count="3">
    <cellStyle name="Comma 2" xfId="2" xr:uid="{136E6BF6-6760-4F06-8656-01835744B1FC}"/>
    <cellStyle name="Normal" xfId="0" builtinId="0"/>
    <cellStyle name="Normal 2 2" xfId="1" xr:uid="{8461821A-FD4E-4833-A2F5-53581FD39A3B}"/>
  </cellStyles>
  <dxfs count="1">
    <dxf>
      <font>
        <condense val="0"/>
        <extend val="0"/>
        <color indexed="12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2D68-165D-4369-8E84-47A4D6184249}">
  <sheetPr>
    <pageSetUpPr fitToPage="1"/>
  </sheetPr>
  <dimension ref="A1:O102"/>
  <sheetViews>
    <sheetView showZeros="0" tabSelected="1" topLeftCell="A42" zoomScale="120" workbookViewId="0">
      <selection activeCell="K64" sqref="K64"/>
    </sheetView>
  </sheetViews>
  <sheetFormatPr defaultColWidth="9.109375" defaultRowHeight="15" customHeight="1" x14ac:dyDescent="0.25"/>
  <cols>
    <col min="1" max="1" width="4" style="104" customWidth="1"/>
    <col min="2" max="2" width="9.6640625" style="18" customWidth="1"/>
    <col min="3" max="3" width="10.6640625" style="18" customWidth="1"/>
    <col min="4" max="4" width="12.6640625" style="18" customWidth="1"/>
    <col min="5" max="5" width="15.88671875" style="18" customWidth="1"/>
    <col min="6" max="6" width="10.44140625" style="18" customWidth="1"/>
    <col min="7" max="7" width="10.6640625" style="18" customWidth="1"/>
    <col min="8" max="8" width="12.6640625" style="18" customWidth="1"/>
    <col min="9" max="9" width="3.44140625" style="18" customWidth="1"/>
    <col min="10" max="10" width="6" style="18" customWidth="1"/>
    <col min="11" max="11" width="29.88671875" style="18" customWidth="1"/>
    <col min="12" max="12" width="9.33203125" style="18" customWidth="1"/>
    <col min="13" max="13" width="9.6640625" style="18" customWidth="1"/>
    <col min="14" max="14" width="10.6640625" style="18" customWidth="1"/>
    <col min="15" max="16384" width="9.109375" style="18"/>
  </cols>
  <sheetData>
    <row r="1" spans="1:14" s="9" customFormat="1" ht="14.25" customHeight="1" x14ac:dyDescent="0.3">
      <c r="A1" s="1" t="s">
        <v>0</v>
      </c>
      <c r="B1" s="2"/>
      <c r="C1" s="2"/>
      <c r="D1" s="3" t="s">
        <v>1</v>
      </c>
      <c r="E1" s="3"/>
      <c r="F1" s="3"/>
      <c r="G1" s="3"/>
      <c r="H1" s="3"/>
      <c r="I1" s="4"/>
      <c r="J1" s="5" t="s">
        <v>2</v>
      </c>
      <c r="K1" s="6"/>
      <c r="L1" s="6"/>
      <c r="M1" s="7"/>
      <c r="N1" s="8" t="s">
        <v>3</v>
      </c>
    </row>
    <row r="2" spans="1:14" ht="15" customHeight="1" thickBot="1" x14ac:dyDescent="0.3">
      <c r="A2" s="10" t="s">
        <v>4</v>
      </c>
      <c r="B2" s="11"/>
      <c r="C2" s="11"/>
      <c r="D2" s="12" t="s">
        <v>5</v>
      </c>
      <c r="E2" s="13" t="s">
        <v>6</v>
      </c>
      <c r="F2" s="14" t="s">
        <v>7</v>
      </c>
      <c r="G2" s="14"/>
      <c r="H2" s="15">
        <v>23129</v>
      </c>
      <c r="I2" s="16">
        <f>IF(H2&lt;21642,"Sr",0)</f>
        <v>0</v>
      </c>
      <c r="J2" s="17" t="s">
        <v>8</v>
      </c>
      <c r="K2" s="17" t="s">
        <v>9</v>
      </c>
      <c r="M2" s="19"/>
      <c r="N2" s="20">
        <v>44763</v>
      </c>
    </row>
    <row r="3" spans="1:14" ht="15" customHeight="1" x14ac:dyDescent="0.25">
      <c r="A3" s="21"/>
      <c r="B3" s="22" t="s">
        <v>10</v>
      </c>
      <c r="G3" s="23"/>
      <c r="H3" s="24" t="s">
        <v>11</v>
      </c>
      <c r="I3" s="25"/>
      <c r="K3" s="26" t="s">
        <v>12</v>
      </c>
      <c r="L3" s="18">
        <v>640000</v>
      </c>
      <c r="N3" s="27" t="s">
        <v>13</v>
      </c>
    </row>
    <row r="4" spans="1:14" ht="15" customHeight="1" x14ac:dyDescent="0.25">
      <c r="A4" s="28"/>
      <c r="B4" s="29" t="s">
        <v>14</v>
      </c>
      <c r="C4" s="30" t="s">
        <v>15</v>
      </c>
      <c r="G4" s="31">
        <f>+L3</f>
        <v>640000</v>
      </c>
      <c r="H4" s="32"/>
      <c r="I4" s="33"/>
      <c r="N4" s="34">
        <v>44773</v>
      </c>
    </row>
    <row r="5" spans="1:14" ht="15" customHeight="1" x14ac:dyDescent="0.25">
      <c r="A5" s="28"/>
      <c r="B5" s="29" t="s">
        <v>16</v>
      </c>
      <c r="C5" s="30" t="s">
        <v>17</v>
      </c>
      <c r="G5" s="31">
        <f>+L9+L10</f>
        <v>0</v>
      </c>
      <c r="H5" s="32"/>
      <c r="I5" s="33"/>
      <c r="N5" s="35" t="s">
        <v>18</v>
      </c>
    </row>
    <row r="6" spans="1:14" ht="15" customHeight="1" thickBot="1" x14ac:dyDescent="0.3">
      <c r="A6" s="28"/>
      <c r="B6" s="29" t="s">
        <v>19</v>
      </c>
      <c r="C6" s="30" t="s">
        <v>20</v>
      </c>
      <c r="G6" s="36"/>
      <c r="H6" s="32"/>
      <c r="I6" s="33"/>
      <c r="M6" s="37"/>
      <c r="N6" s="38">
        <v>44835</v>
      </c>
    </row>
    <row r="7" spans="1:14" ht="15" customHeight="1" x14ac:dyDescent="0.25">
      <c r="A7" s="28"/>
      <c r="B7" s="22"/>
      <c r="C7" s="30"/>
      <c r="F7" s="39" t="s">
        <v>21</v>
      </c>
      <c r="G7" s="40">
        <f>G4+G5+G6</f>
        <v>640000</v>
      </c>
      <c r="H7" s="32"/>
      <c r="I7" s="33"/>
      <c r="N7" s="41" t="s">
        <v>22</v>
      </c>
    </row>
    <row r="8" spans="1:14" ht="15" customHeight="1" x14ac:dyDescent="0.25">
      <c r="A8" s="28"/>
      <c r="B8" s="42" t="s">
        <v>23</v>
      </c>
      <c r="C8" s="30" t="s">
        <v>24</v>
      </c>
      <c r="G8" s="36">
        <f>M8+M9</f>
        <v>0</v>
      </c>
      <c r="H8" s="32"/>
      <c r="I8" s="33"/>
      <c r="N8" s="43" t="s">
        <v>25</v>
      </c>
    </row>
    <row r="9" spans="1:14" ht="15" customHeight="1" thickBot="1" x14ac:dyDescent="0.3">
      <c r="A9" s="28"/>
      <c r="B9" s="22"/>
      <c r="F9" s="39" t="s">
        <v>26</v>
      </c>
      <c r="G9" s="44">
        <f>G7-G8</f>
        <v>640000</v>
      </c>
      <c r="H9" s="32"/>
      <c r="I9" s="33"/>
      <c r="N9" s="45">
        <v>5000</v>
      </c>
    </row>
    <row r="10" spans="1:14" ht="15" customHeight="1" x14ac:dyDescent="0.25">
      <c r="A10" s="28"/>
      <c r="B10" s="29" t="s">
        <v>27</v>
      </c>
      <c r="C10" s="46" t="s">
        <v>28</v>
      </c>
      <c r="G10" s="36">
        <v>50000</v>
      </c>
      <c r="H10" s="32">
        <f>G9-G10</f>
        <v>590000</v>
      </c>
      <c r="I10" s="33"/>
      <c r="J10" s="19"/>
    </row>
    <row r="11" spans="1:14" ht="21" customHeight="1" x14ac:dyDescent="0.25">
      <c r="A11" s="28"/>
      <c r="B11" s="22" t="s">
        <v>29</v>
      </c>
      <c r="E11" s="47"/>
      <c r="G11" s="23"/>
      <c r="H11" s="32"/>
      <c r="I11" s="33"/>
      <c r="N11" s="48"/>
    </row>
    <row r="12" spans="1:14" ht="15" customHeight="1" x14ac:dyDescent="0.25">
      <c r="A12" s="28"/>
      <c r="B12" s="49" t="s">
        <v>30</v>
      </c>
      <c r="C12" s="50" t="s">
        <v>31</v>
      </c>
      <c r="D12" s="30"/>
      <c r="E12" s="51"/>
      <c r="F12" s="19"/>
      <c r="G12" s="52">
        <f>+M14</f>
        <v>3000000</v>
      </c>
      <c r="H12" s="53"/>
      <c r="I12" s="33"/>
      <c r="J12" s="19"/>
    </row>
    <row r="13" spans="1:14" ht="15" customHeight="1" x14ac:dyDescent="0.25">
      <c r="A13" s="28"/>
      <c r="C13" s="54" t="s">
        <v>32</v>
      </c>
      <c r="D13" s="30"/>
      <c r="E13" s="55" t="s">
        <v>33</v>
      </c>
      <c r="F13" s="19"/>
      <c r="G13" s="56"/>
      <c r="H13" s="53"/>
      <c r="I13" s="33"/>
      <c r="J13" s="19"/>
      <c r="K13" s="18" t="s">
        <v>34</v>
      </c>
      <c r="L13" s="57"/>
    </row>
    <row r="14" spans="1:14" ht="15" customHeight="1" x14ac:dyDescent="0.25">
      <c r="A14" s="28"/>
      <c r="C14" s="50"/>
      <c r="D14" s="30"/>
      <c r="F14" s="19"/>
      <c r="G14" s="58">
        <f>G12-G13</f>
        <v>3000000</v>
      </c>
      <c r="H14" s="53"/>
      <c r="I14" s="33"/>
      <c r="K14" s="18" t="s">
        <v>35</v>
      </c>
      <c r="M14" s="18">
        <v>3000000</v>
      </c>
    </row>
    <row r="15" spans="1:14" ht="15" customHeight="1" x14ac:dyDescent="0.25">
      <c r="A15" s="28"/>
      <c r="B15" s="59" t="s">
        <v>36</v>
      </c>
      <c r="C15" s="46" t="s">
        <v>37</v>
      </c>
      <c r="D15" s="30"/>
      <c r="E15" s="46" t="s">
        <v>38</v>
      </c>
      <c r="F15" s="52">
        <f>G14*0.3</f>
        <v>900000</v>
      </c>
      <c r="H15" s="53"/>
      <c r="I15" s="33"/>
      <c r="K15" s="18" t="s">
        <v>39</v>
      </c>
      <c r="M15" s="18">
        <v>240000</v>
      </c>
    </row>
    <row r="16" spans="1:14" ht="15" customHeight="1" x14ac:dyDescent="0.25">
      <c r="A16" s="28"/>
      <c r="B16" s="29"/>
      <c r="C16" s="46"/>
      <c r="E16" s="46" t="s">
        <v>40</v>
      </c>
      <c r="F16" s="60">
        <v>260000</v>
      </c>
      <c r="G16" s="61">
        <f>F15+F16</f>
        <v>1160000</v>
      </c>
      <c r="H16" s="53">
        <f>G14-G16</f>
        <v>1840000</v>
      </c>
      <c r="I16" s="33"/>
      <c r="K16" s="18" t="s">
        <v>41</v>
      </c>
      <c r="M16" s="18">
        <v>260000</v>
      </c>
    </row>
    <row r="17" spans="1:14" ht="15" customHeight="1" x14ac:dyDescent="0.25">
      <c r="A17" s="28"/>
      <c r="B17" s="29"/>
      <c r="C17" s="29"/>
      <c r="D17" s="29"/>
      <c r="E17" s="29"/>
      <c r="F17" s="29"/>
      <c r="G17" s="29"/>
      <c r="H17" s="53"/>
      <c r="I17" s="33"/>
      <c r="K17" s="57"/>
      <c r="M17" s="57"/>
    </row>
    <row r="18" spans="1:14" ht="15" customHeight="1" x14ac:dyDescent="0.25">
      <c r="A18" s="28"/>
      <c r="B18" s="49" t="s">
        <v>42</v>
      </c>
      <c r="C18" s="50" t="s">
        <v>43</v>
      </c>
      <c r="D18" s="30"/>
      <c r="E18" s="51"/>
      <c r="F18" s="19"/>
      <c r="G18" s="52" t="s">
        <v>44</v>
      </c>
      <c r="H18" s="53"/>
      <c r="I18" s="33"/>
      <c r="K18" s="62" t="s">
        <v>45</v>
      </c>
      <c r="M18" s="57"/>
    </row>
    <row r="19" spans="1:14" ht="15" customHeight="1" x14ac:dyDescent="0.25">
      <c r="A19" s="28"/>
      <c r="C19" s="54" t="s">
        <v>32</v>
      </c>
      <c r="D19" s="30"/>
      <c r="E19" s="55"/>
      <c r="F19" s="19"/>
      <c r="G19" s="56" t="s">
        <v>44</v>
      </c>
      <c r="H19" s="53"/>
      <c r="I19" s="33"/>
      <c r="J19" s="59"/>
      <c r="K19" s="62" t="s">
        <v>46</v>
      </c>
      <c r="L19" s="57"/>
      <c r="M19" s="63">
        <v>275000</v>
      </c>
    </row>
    <row r="20" spans="1:14" ht="15" customHeight="1" x14ac:dyDescent="0.25">
      <c r="A20" s="28"/>
      <c r="C20" s="50"/>
      <c r="D20" s="30"/>
      <c r="F20" s="19"/>
      <c r="G20" s="58" t="s">
        <v>44</v>
      </c>
      <c r="H20" s="53"/>
      <c r="I20" s="33"/>
      <c r="J20" s="29"/>
      <c r="K20" s="64" t="s">
        <v>47</v>
      </c>
      <c r="M20" s="63"/>
    </row>
    <row r="21" spans="1:14" ht="15" customHeight="1" x14ac:dyDescent="0.25">
      <c r="A21" s="28"/>
      <c r="B21" s="59" t="s">
        <v>36</v>
      </c>
      <c r="C21" s="46" t="s">
        <v>37</v>
      </c>
      <c r="D21" s="30"/>
      <c r="E21" s="46" t="s">
        <v>38</v>
      </c>
      <c r="F21" s="19" t="s">
        <v>44</v>
      </c>
      <c r="H21" s="53"/>
      <c r="I21" s="33"/>
      <c r="J21" s="29"/>
      <c r="K21" s="65"/>
      <c r="M21" s="63"/>
    </row>
    <row r="22" spans="1:14" ht="15" customHeight="1" x14ac:dyDescent="0.25">
      <c r="A22" s="28"/>
      <c r="B22" s="29"/>
      <c r="C22" s="46"/>
      <c r="D22" s="66" t="s">
        <v>48</v>
      </c>
      <c r="E22" s="46" t="s">
        <v>40</v>
      </c>
      <c r="F22" s="66" t="s">
        <v>49</v>
      </c>
      <c r="G22" s="61">
        <v>30000</v>
      </c>
      <c r="H22" s="53">
        <f>0-G22</f>
        <v>-30000</v>
      </c>
      <c r="I22" s="33"/>
      <c r="J22" s="29"/>
      <c r="M22" s="63"/>
    </row>
    <row r="23" spans="1:14" ht="15" customHeight="1" x14ac:dyDescent="0.25">
      <c r="A23" s="28"/>
      <c r="B23" s="22" t="s">
        <v>50</v>
      </c>
      <c r="H23" s="53"/>
      <c r="I23" s="33"/>
      <c r="J23" s="29"/>
      <c r="M23" s="29"/>
      <c r="N23" s="29"/>
    </row>
    <row r="24" spans="1:14" ht="15" customHeight="1" x14ac:dyDescent="0.25">
      <c r="A24" s="28"/>
      <c r="C24" s="46" t="s">
        <v>51</v>
      </c>
      <c r="G24" s="67"/>
      <c r="H24" s="53"/>
      <c r="I24" s="68"/>
      <c r="J24" s="29"/>
      <c r="K24" s="18" t="s">
        <v>52</v>
      </c>
      <c r="M24" s="18">
        <v>14710</v>
      </c>
    </row>
    <row r="25" spans="1:14" ht="15" customHeight="1" x14ac:dyDescent="0.25">
      <c r="A25" s="28"/>
      <c r="C25" s="46" t="s">
        <v>53</v>
      </c>
      <c r="G25" s="69"/>
      <c r="H25" s="53"/>
      <c r="I25" s="68"/>
      <c r="J25" s="29"/>
      <c r="K25" s="18" t="s">
        <v>54</v>
      </c>
      <c r="M25" s="18">
        <v>8000</v>
      </c>
      <c r="N25" s="66"/>
    </row>
    <row r="26" spans="1:14" ht="15" customHeight="1" x14ac:dyDescent="0.25">
      <c r="A26" s="28"/>
      <c r="B26" s="22" t="s">
        <v>55</v>
      </c>
      <c r="H26" s="53"/>
      <c r="I26" s="33"/>
      <c r="J26" s="29"/>
      <c r="K26" s="70" t="s">
        <v>56</v>
      </c>
    </row>
    <row r="27" spans="1:14" ht="15" customHeight="1" x14ac:dyDescent="0.25">
      <c r="A27" s="28"/>
      <c r="B27" s="19"/>
      <c r="C27" s="29" t="s">
        <v>57</v>
      </c>
      <c r="D27" s="29"/>
      <c r="E27" s="29"/>
      <c r="F27" s="46"/>
      <c r="G27" s="67">
        <f>+M24</f>
        <v>14710</v>
      </c>
      <c r="H27" s="53"/>
      <c r="I27" s="33"/>
      <c r="J27" s="29"/>
      <c r="K27" s="71" t="s">
        <v>58</v>
      </c>
      <c r="M27" s="18">
        <v>50000</v>
      </c>
    </row>
    <row r="28" spans="1:14" ht="15" customHeight="1" x14ac:dyDescent="0.25">
      <c r="A28" s="28"/>
      <c r="B28" s="19"/>
      <c r="C28" s="29" t="s">
        <v>59</v>
      </c>
      <c r="D28" s="29"/>
      <c r="E28" s="29"/>
      <c r="F28" s="46"/>
      <c r="G28" s="67">
        <f>+M25</f>
        <v>8000</v>
      </c>
      <c r="H28" s="53"/>
      <c r="I28" s="33"/>
      <c r="J28" s="29"/>
      <c r="K28" s="71" t="s">
        <v>60</v>
      </c>
      <c r="M28" s="18">
        <v>30000</v>
      </c>
    </row>
    <row r="29" spans="1:14" ht="15" customHeight="1" x14ac:dyDescent="0.25">
      <c r="A29" s="28"/>
      <c r="B29" s="19"/>
      <c r="C29" s="29" t="s">
        <v>61</v>
      </c>
      <c r="E29" s="72" t="s">
        <v>62</v>
      </c>
      <c r="G29" s="73">
        <f>ROUND(80000*0.0864,0)</f>
        <v>6912</v>
      </c>
      <c r="H29" s="53"/>
      <c r="I29" s="33"/>
      <c r="J29" s="74"/>
      <c r="K29" s="71" t="s">
        <v>63</v>
      </c>
      <c r="L29" s="75" t="s">
        <v>64</v>
      </c>
      <c r="M29" s="18">
        <v>80000</v>
      </c>
    </row>
    <row r="30" spans="1:14" ht="15" customHeight="1" x14ac:dyDescent="0.25">
      <c r="A30" s="28"/>
      <c r="B30" s="72"/>
      <c r="C30" s="29" t="s">
        <v>65</v>
      </c>
      <c r="G30" s="69">
        <f>+M29</f>
        <v>80000</v>
      </c>
      <c r="H30" s="53">
        <f>SUM(G27:G30)</f>
        <v>109622</v>
      </c>
      <c r="I30" s="33"/>
      <c r="J30" s="76"/>
      <c r="K30" s="18" t="s">
        <v>66</v>
      </c>
      <c r="M30" s="63"/>
    </row>
    <row r="31" spans="1:14" ht="15" customHeight="1" x14ac:dyDescent="0.25">
      <c r="A31" s="28"/>
      <c r="B31" s="77"/>
      <c r="G31" s="26"/>
      <c r="H31" s="53"/>
      <c r="I31" s="78"/>
      <c r="K31" s="18" t="s">
        <v>67</v>
      </c>
      <c r="M31" s="63"/>
    </row>
    <row r="32" spans="1:14" ht="15" customHeight="1" x14ac:dyDescent="0.25">
      <c r="A32" s="28"/>
      <c r="B32" s="22" t="s">
        <v>68</v>
      </c>
      <c r="E32" s="19"/>
      <c r="F32" s="19"/>
      <c r="G32" s="32"/>
      <c r="H32" s="79">
        <f>SUM(H4:H31)</f>
        <v>2509622</v>
      </c>
      <c r="I32" s="80"/>
      <c r="K32" s="29"/>
    </row>
    <row r="33" spans="1:15" ht="15" customHeight="1" x14ac:dyDescent="0.25">
      <c r="A33" s="28"/>
      <c r="B33" s="70" t="s">
        <v>69</v>
      </c>
      <c r="H33" s="53"/>
      <c r="I33" s="33"/>
    </row>
    <row r="34" spans="1:15" ht="15" customHeight="1" x14ac:dyDescent="0.25">
      <c r="A34" s="28"/>
      <c r="B34" s="81"/>
      <c r="C34" s="47" t="s">
        <v>70</v>
      </c>
      <c r="D34" s="29" t="s">
        <v>71</v>
      </c>
      <c r="F34" s="67">
        <f>+M34</f>
        <v>90000</v>
      </c>
      <c r="H34" s="53"/>
      <c r="I34" s="33"/>
      <c r="K34" s="82" t="s">
        <v>72</v>
      </c>
      <c r="L34" s="82"/>
      <c r="M34" s="82">
        <v>90000</v>
      </c>
    </row>
    <row r="35" spans="1:15" ht="15" customHeight="1" x14ac:dyDescent="0.25">
      <c r="A35" s="28"/>
      <c r="B35" s="81"/>
      <c r="C35" s="83"/>
      <c r="D35" s="29" t="s">
        <v>73</v>
      </c>
      <c r="F35" s="67">
        <f>+M35</f>
        <v>36200</v>
      </c>
      <c r="G35" s="23"/>
      <c r="H35" s="32"/>
      <c r="I35" s="33"/>
      <c r="K35" s="82" t="s">
        <v>74</v>
      </c>
      <c r="L35" s="82"/>
      <c r="M35" s="82">
        <v>36200</v>
      </c>
    </row>
    <row r="36" spans="1:15" ht="15" customHeight="1" x14ac:dyDescent="0.25">
      <c r="A36" s="28"/>
      <c r="B36" s="81"/>
      <c r="C36" s="47"/>
      <c r="D36" s="29" t="s">
        <v>75</v>
      </c>
      <c r="F36" s="84">
        <f>+G29</f>
        <v>6912</v>
      </c>
      <c r="G36" s="44">
        <f>F34+F35+F36</f>
        <v>133112</v>
      </c>
      <c r="I36" s="33"/>
      <c r="K36" s="82" t="s">
        <v>76</v>
      </c>
      <c r="L36" s="82"/>
      <c r="M36" s="82">
        <v>75000</v>
      </c>
    </row>
    <row r="37" spans="1:15" ht="15" customHeight="1" x14ac:dyDescent="0.25">
      <c r="A37" s="28"/>
      <c r="B37" s="81"/>
      <c r="C37" s="47" t="s">
        <v>77</v>
      </c>
      <c r="D37" s="29"/>
      <c r="E37" s="85">
        <v>25000</v>
      </c>
      <c r="G37" s="86">
        <f>150000-G36</f>
        <v>16888</v>
      </c>
      <c r="H37" s="32"/>
      <c r="I37" s="33"/>
      <c r="K37" s="82" t="s">
        <v>78</v>
      </c>
      <c r="L37" s="82"/>
      <c r="M37" s="82">
        <v>80000</v>
      </c>
    </row>
    <row r="38" spans="1:15" ht="15" customHeight="1" x14ac:dyDescent="0.25">
      <c r="A38" s="28"/>
      <c r="B38" s="81"/>
      <c r="C38" s="47" t="s">
        <v>79</v>
      </c>
      <c r="F38" s="29"/>
      <c r="G38" s="67">
        <v>50000</v>
      </c>
      <c r="H38" s="53"/>
      <c r="I38" s="33"/>
      <c r="K38" s="87" t="s">
        <v>80</v>
      </c>
      <c r="L38" s="88"/>
      <c r="M38" s="87">
        <v>110000</v>
      </c>
    </row>
    <row r="39" spans="1:15" ht="15" customHeight="1" x14ac:dyDescent="0.25">
      <c r="A39" s="89">
        <f>+I2</f>
        <v>0</v>
      </c>
      <c r="C39" s="47" t="s">
        <v>81</v>
      </c>
      <c r="D39" s="46" t="s">
        <v>82</v>
      </c>
      <c r="E39" s="19"/>
      <c r="F39" s="19"/>
      <c r="G39" s="69">
        <v>10000</v>
      </c>
      <c r="H39" s="53">
        <f>SUM(G34:G39)</f>
        <v>210000</v>
      </c>
      <c r="I39" s="33"/>
      <c r="K39" s="90"/>
    </row>
    <row r="40" spans="1:15" ht="15" customHeight="1" thickBot="1" x14ac:dyDescent="0.3">
      <c r="A40" s="28"/>
      <c r="B40" s="91" t="s">
        <v>83</v>
      </c>
      <c r="C40" s="18" t="s">
        <v>84</v>
      </c>
      <c r="E40" s="92">
        <f>IF((H32-H39)&lt;0,0,(H32-H39))</f>
        <v>2299622</v>
      </c>
      <c r="F40" s="93" t="s">
        <v>85</v>
      </c>
      <c r="G40" s="94"/>
      <c r="H40" s="95">
        <f>ROUND((E40/10),0)*10</f>
        <v>2299620</v>
      </c>
      <c r="I40" s="96"/>
      <c r="K40" s="97" t="s">
        <v>86</v>
      </c>
    </row>
    <row r="41" spans="1:15" ht="15" customHeight="1" thickTop="1" x14ac:dyDescent="0.25">
      <c r="A41" s="28"/>
      <c r="B41" s="97" t="s">
        <v>87</v>
      </c>
      <c r="E41" s="98" t="s">
        <v>88</v>
      </c>
      <c r="F41" s="99" t="s">
        <v>89</v>
      </c>
      <c r="G41" s="98" t="s">
        <v>90</v>
      </c>
      <c r="H41" s="100"/>
      <c r="I41" s="101"/>
      <c r="K41" s="102" t="s">
        <v>91</v>
      </c>
      <c r="L41" s="103">
        <v>0.05</v>
      </c>
      <c r="M41" s="18">
        <f>250000*5%</f>
        <v>12500</v>
      </c>
    </row>
    <row r="42" spans="1:15" ht="15" customHeight="1" x14ac:dyDescent="0.25">
      <c r="A42" s="28"/>
      <c r="B42" s="104"/>
      <c r="C42" s="46" t="s">
        <v>92</v>
      </c>
      <c r="E42" s="26">
        <f>H40-E43</f>
        <v>2299620</v>
      </c>
      <c r="F42" s="105"/>
      <c r="G42" s="18">
        <f>IF(+I2="Sr",ROUND(IF(E42&gt;1000000,(((E42-1000000)*0.3)+110000),IF(E42&gt;500000,(((E42-500000)*0.2)+10000),IF(E42&gt;300000,((E42-300000)*0.05),0))),0),ROUND(IF(E42&gt;1000000,(((E42-1000000)*0.3)+112500),IF(E42&gt;500000,(((E42-500000)*0.2)+12500),IF(E42&gt;250000,((E42-250000)*0.05),0))),0))</f>
        <v>502386</v>
      </c>
      <c r="H42" s="100"/>
      <c r="I42" s="101"/>
      <c r="K42" s="102" t="s">
        <v>93</v>
      </c>
      <c r="L42" s="103">
        <v>0.2</v>
      </c>
      <c r="M42" s="18">
        <f>500000*20%</f>
        <v>100000</v>
      </c>
    </row>
    <row r="43" spans="1:15" ht="15" hidden="1" customHeight="1" x14ac:dyDescent="0.25">
      <c r="A43" s="28"/>
      <c r="B43" s="106"/>
      <c r="C43" s="46" t="s">
        <v>94</v>
      </c>
      <c r="E43" s="73"/>
      <c r="F43" s="107"/>
      <c r="G43" s="69">
        <f>ROUND(E43*F43,0)</f>
        <v>0</v>
      </c>
      <c r="H43" s="108"/>
      <c r="I43" s="109"/>
    </row>
    <row r="44" spans="1:15" ht="15" hidden="1" customHeight="1" x14ac:dyDescent="0.25">
      <c r="A44" s="28"/>
      <c r="D44" s="105"/>
      <c r="E44" s="19"/>
      <c r="G44" s="37">
        <f>G42+G43</f>
        <v>502386</v>
      </c>
      <c r="H44" s="110"/>
      <c r="I44" s="111"/>
    </row>
    <row r="45" spans="1:15" ht="15" customHeight="1" x14ac:dyDescent="0.25">
      <c r="A45" s="28"/>
      <c r="B45" s="46" t="s">
        <v>95</v>
      </c>
      <c r="C45" s="46" t="s">
        <v>96</v>
      </c>
      <c r="D45" s="105"/>
      <c r="E45" s="19"/>
      <c r="G45" s="112"/>
      <c r="H45" s="113">
        <f>G44-G45</f>
        <v>502386</v>
      </c>
      <c r="I45" s="114"/>
      <c r="K45" s="102" t="s">
        <v>97</v>
      </c>
      <c r="L45" s="103">
        <v>0.3</v>
      </c>
      <c r="M45" s="18">
        <f>ROUND((H40-1000000-E43)*30%,0)</f>
        <v>389886</v>
      </c>
    </row>
    <row r="46" spans="1:15" ht="15" customHeight="1" thickBot="1" x14ac:dyDescent="0.3">
      <c r="A46" s="28"/>
      <c r="B46" s="18" t="s">
        <v>98</v>
      </c>
      <c r="C46" s="46"/>
      <c r="D46" s="105"/>
      <c r="E46" s="19"/>
      <c r="G46" s="115"/>
      <c r="H46" s="116">
        <f>IF(H40&gt;10000000,H45*15%,IF(H40&gt;5000000,H45*10%,0))</f>
        <v>0</v>
      </c>
      <c r="I46" s="117"/>
      <c r="J46" s="118"/>
      <c r="M46" s="119">
        <f>SUM(M41:M45)</f>
        <v>502386</v>
      </c>
      <c r="N46" s="118"/>
      <c r="O46" s="118"/>
    </row>
    <row r="47" spans="1:15" ht="15" customHeight="1" thickTop="1" x14ac:dyDescent="0.25">
      <c r="A47" s="28"/>
      <c r="C47" s="46"/>
      <c r="D47" s="105"/>
      <c r="E47" s="19"/>
      <c r="G47" s="37"/>
      <c r="H47" s="113">
        <f>H45+H46</f>
        <v>502386</v>
      </c>
      <c r="I47" s="114"/>
      <c r="J47" s="118"/>
      <c r="N47" s="118"/>
      <c r="O47" s="118"/>
    </row>
    <row r="48" spans="1:15" ht="15" customHeight="1" x14ac:dyDescent="0.25">
      <c r="A48" s="28"/>
      <c r="B48" s="46" t="s">
        <v>99</v>
      </c>
      <c r="D48" s="105"/>
      <c r="E48" s="19"/>
      <c r="G48" s="115">
        <v>0.04</v>
      </c>
      <c r="H48" s="116">
        <f>ROUND((H47)*0.04,0)</f>
        <v>20095</v>
      </c>
      <c r="I48" s="117"/>
      <c r="J48" s="118"/>
      <c r="K48" s="120" t="s">
        <v>100</v>
      </c>
      <c r="L48" s="121" t="s">
        <v>101</v>
      </c>
      <c r="M48" s="122" t="s">
        <v>102</v>
      </c>
      <c r="N48" s="118"/>
      <c r="O48" s="118"/>
    </row>
    <row r="49" spans="1:15" ht="15" customHeight="1" x14ac:dyDescent="0.25">
      <c r="A49" s="28"/>
      <c r="B49" s="97" t="s">
        <v>103</v>
      </c>
      <c r="D49" s="105"/>
      <c r="E49" s="93"/>
      <c r="G49" s="19"/>
      <c r="H49" s="110">
        <f>SUM(H47:H48)</f>
        <v>522481</v>
      </c>
      <c r="I49" s="111"/>
      <c r="J49" s="118"/>
      <c r="K49" s="123" t="s">
        <v>104</v>
      </c>
      <c r="L49" s="124">
        <v>4851000</v>
      </c>
      <c r="M49" s="124">
        <v>18085000</v>
      </c>
      <c r="N49" s="125"/>
      <c r="O49" s="118"/>
    </row>
    <row r="50" spans="1:15" ht="15" customHeight="1" x14ac:dyDescent="0.3">
      <c r="A50" s="28"/>
      <c r="B50" s="46" t="s">
        <v>105</v>
      </c>
      <c r="D50" s="105"/>
      <c r="E50" s="126" t="s">
        <v>106</v>
      </c>
      <c r="G50" s="127"/>
      <c r="H50" s="128">
        <f>+H66</f>
        <v>17832</v>
      </c>
      <c r="I50" s="111"/>
      <c r="J50" s="118"/>
      <c r="K50" s="123" t="s">
        <v>107</v>
      </c>
      <c r="L50" s="124">
        <v>2900000</v>
      </c>
      <c r="M50" s="129"/>
      <c r="N50" s="130">
        <v>17776</v>
      </c>
      <c r="O50" s="118"/>
    </row>
    <row r="51" spans="1:15" ht="15" customHeight="1" x14ac:dyDescent="0.25">
      <c r="A51" s="89">
        <f>+A39</f>
        <v>0</v>
      </c>
      <c r="B51" s="46" t="s">
        <v>108</v>
      </c>
      <c r="C51" s="19"/>
      <c r="D51" s="19"/>
      <c r="E51" s="19" t="s">
        <v>109</v>
      </c>
      <c r="G51" s="127"/>
      <c r="H51" s="131">
        <v>5000</v>
      </c>
      <c r="I51" s="132"/>
      <c r="J51" s="133"/>
      <c r="K51" s="123" t="s">
        <v>110</v>
      </c>
      <c r="L51" s="124">
        <v>18000</v>
      </c>
      <c r="M51" s="129"/>
      <c r="N51" s="118"/>
      <c r="O51" s="118"/>
    </row>
    <row r="52" spans="1:15" ht="15" customHeight="1" x14ac:dyDescent="0.25">
      <c r="A52" s="28"/>
      <c r="B52" s="97" t="s">
        <v>111</v>
      </c>
      <c r="C52" s="19"/>
      <c r="D52" s="19"/>
      <c r="E52" s="19"/>
      <c r="F52" s="19"/>
      <c r="G52" s="19"/>
      <c r="H52" s="134">
        <f>H49+H51+H50</f>
        <v>545313</v>
      </c>
      <c r="I52" s="33"/>
      <c r="J52" s="125"/>
      <c r="K52" s="123" t="s">
        <v>112</v>
      </c>
      <c r="L52" s="124">
        <v>49500</v>
      </c>
      <c r="M52" s="129"/>
      <c r="N52" s="118"/>
      <c r="O52" s="118"/>
    </row>
    <row r="53" spans="1:15" ht="15" customHeight="1" x14ac:dyDescent="0.25">
      <c r="A53" s="28"/>
      <c r="B53" s="22" t="s">
        <v>113</v>
      </c>
      <c r="C53" s="19"/>
      <c r="D53" s="19"/>
      <c r="E53" s="19"/>
      <c r="F53" s="19"/>
      <c r="G53" s="19"/>
      <c r="H53" s="53"/>
      <c r="I53" s="33"/>
      <c r="J53" s="118"/>
      <c r="N53" s="118"/>
      <c r="O53" s="118"/>
    </row>
    <row r="54" spans="1:15" ht="15" customHeight="1" x14ac:dyDescent="0.3">
      <c r="A54" s="28"/>
      <c r="B54" s="135"/>
      <c r="C54" s="136" t="s">
        <v>114</v>
      </c>
      <c r="D54" s="136"/>
      <c r="E54" s="137"/>
      <c r="F54" s="137"/>
      <c r="G54" s="73">
        <f>M56+M57+M58</f>
        <v>90000</v>
      </c>
      <c r="H54" s="53"/>
      <c r="I54" s="33"/>
      <c r="J54" s="118"/>
      <c r="N54" s="118"/>
      <c r="O54" s="118"/>
    </row>
    <row r="55" spans="1:15" ht="15" customHeight="1" x14ac:dyDescent="0.3">
      <c r="A55" s="28"/>
      <c r="B55" s="138"/>
      <c r="C55" s="136" t="s">
        <v>115</v>
      </c>
      <c r="D55" s="136"/>
      <c r="E55" s="137" t="s">
        <v>116</v>
      </c>
      <c r="F55" s="139"/>
      <c r="G55" s="73">
        <f>+M55</f>
        <v>300000</v>
      </c>
      <c r="H55" s="53"/>
      <c r="I55" s="33"/>
      <c r="K55" s="18" t="s">
        <v>117</v>
      </c>
      <c r="M55" s="18">
        <v>300000</v>
      </c>
    </row>
    <row r="56" spans="1:15" ht="15" customHeight="1" x14ac:dyDescent="0.25">
      <c r="A56" s="28"/>
      <c r="B56" s="135">
        <v>44720</v>
      </c>
      <c r="C56" s="18" t="s">
        <v>118</v>
      </c>
      <c r="G56" s="73">
        <f>+M59</f>
        <v>55000</v>
      </c>
      <c r="H56" s="53">
        <f>SUM(G54:G56)</f>
        <v>445000</v>
      </c>
      <c r="I56" s="33"/>
      <c r="K56" s="18" t="s">
        <v>119</v>
      </c>
      <c r="M56" s="18">
        <v>20000</v>
      </c>
    </row>
    <row r="57" spans="1:15" ht="15" customHeight="1" thickBot="1" x14ac:dyDescent="0.3">
      <c r="A57" s="140"/>
      <c r="B57" s="141" t="str">
        <f>IF(H57=0,"TAX  PAYABLE / REFUND ",IF(H57&lt;0,"REFUND","TAX  PAYABLE including Interest"))</f>
        <v>TAX  PAYABLE including Interest</v>
      </c>
      <c r="C57" s="142"/>
      <c r="D57" s="143"/>
      <c r="E57" s="143"/>
      <c r="F57" s="144" t="s">
        <v>120</v>
      </c>
      <c r="G57" s="145"/>
      <c r="H57" s="146">
        <f>ROUND((H52-H56)/10,0)*10</f>
        <v>100310</v>
      </c>
      <c r="I57" s="147"/>
      <c r="K57" s="18" t="s">
        <v>121</v>
      </c>
      <c r="M57" s="18">
        <v>30000</v>
      </c>
    </row>
    <row r="58" spans="1:15" ht="15" customHeight="1" x14ac:dyDescent="0.25">
      <c r="A58" s="148" t="s">
        <v>122</v>
      </c>
      <c r="B58" s="149"/>
      <c r="C58" s="149"/>
      <c r="D58" s="149"/>
      <c r="E58" s="149"/>
      <c r="F58" s="149"/>
      <c r="G58" s="149"/>
      <c r="H58" s="149"/>
      <c r="I58" s="150"/>
      <c r="K58" s="18" t="s">
        <v>123</v>
      </c>
      <c r="M58" s="18">
        <v>40000</v>
      </c>
    </row>
    <row r="59" spans="1:15" ht="15" customHeight="1" thickBot="1" x14ac:dyDescent="0.3">
      <c r="A59" s="151"/>
      <c r="B59" s="152"/>
      <c r="C59" s="153" t="s">
        <v>124</v>
      </c>
      <c r="D59" s="154"/>
      <c r="E59" s="155" t="s">
        <v>125</v>
      </c>
      <c r="F59" s="156" t="s">
        <v>126</v>
      </c>
      <c r="G59" s="156"/>
      <c r="H59" s="156"/>
      <c r="I59" s="157"/>
      <c r="K59" s="18" t="s">
        <v>127</v>
      </c>
      <c r="M59" s="18">
        <v>55000</v>
      </c>
    </row>
    <row r="60" spans="1:15" ht="15" customHeight="1" x14ac:dyDescent="0.25">
      <c r="A60" s="158"/>
      <c r="B60" s="159"/>
      <c r="C60" s="159"/>
      <c r="D60" s="159"/>
      <c r="E60" s="159"/>
      <c r="F60" s="159"/>
      <c r="G60" s="159"/>
      <c r="H60" s="159"/>
      <c r="I60" s="159"/>
    </row>
    <row r="61" spans="1:15" ht="15" customHeight="1" x14ac:dyDescent="0.25">
      <c r="B61" s="160" t="s">
        <v>128</v>
      </c>
      <c r="C61" s="50" t="s">
        <v>129</v>
      </c>
      <c r="E61" s="161"/>
      <c r="F61" s="161"/>
      <c r="G61" s="161"/>
    </row>
    <row r="62" spans="1:15" ht="15" customHeight="1" x14ac:dyDescent="0.25">
      <c r="B62" s="160" t="s">
        <v>130</v>
      </c>
      <c r="C62" s="162" t="s">
        <v>131</v>
      </c>
      <c r="E62" s="163"/>
      <c r="F62" s="163"/>
      <c r="G62" s="163"/>
    </row>
    <row r="63" spans="1:15" ht="15" customHeight="1" x14ac:dyDescent="0.25">
      <c r="B63" s="164" t="s">
        <v>132</v>
      </c>
      <c r="C63" s="162" t="s">
        <v>133</v>
      </c>
      <c r="E63" s="165"/>
      <c r="F63" s="165"/>
      <c r="G63" s="165"/>
    </row>
    <row r="64" spans="1:15" ht="15" customHeight="1" x14ac:dyDescent="0.25">
      <c r="B64" s="164" t="s">
        <v>134</v>
      </c>
      <c r="C64" s="162" t="s">
        <v>135</v>
      </c>
      <c r="E64" s="163"/>
      <c r="F64" s="163"/>
      <c r="G64" s="163"/>
    </row>
    <row r="66" spans="1:14" ht="15" customHeight="1" x14ac:dyDescent="0.25">
      <c r="B66" s="166" t="s">
        <v>136</v>
      </c>
      <c r="C66" s="167"/>
      <c r="D66" s="167"/>
      <c r="E66" s="167"/>
      <c r="F66" s="167"/>
      <c r="G66" s="168" t="s">
        <v>137</v>
      </c>
      <c r="H66" s="169">
        <f>+H78+H90+H100</f>
        <v>17832</v>
      </c>
      <c r="J66" s="170">
        <v>19503</v>
      </c>
      <c r="N66" s="171"/>
    </row>
    <row r="67" spans="1:14" ht="15" customHeight="1" x14ac:dyDescent="0.25">
      <c r="B67" s="172" t="s">
        <v>138</v>
      </c>
      <c r="C67" s="173"/>
      <c r="D67" s="173"/>
      <c r="E67" s="173"/>
      <c r="F67" s="173"/>
      <c r="G67" s="174"/>
      <c r="H67" s="175"/>
      <c r="M67" s="26"/>
      <c r="N67" s="171"/>
    </row>
    <row r="68" spans="1:14" ht="15" customHeight="1" x14ac:dyDescent="0.25">
      <c r="B68" s="176" t="s">
        <v>139</v>
      </c>
      <c r="C68" s="173"/>
      <c r="D68" s="173"/>
      <c r="E68" s="26"/>
      <c r="G68" s="177"/>
      <c r="H68" s="26">
        <f>+H49</f>
        <v>522481</v>
      </c>
    </row>
    <row r="69" spans="1:14" ht="15" customHeight="1" x14ac:dyDescent="0.25">
      <c r="B69" s="176" t="s">
        <v>140</v>
      </c>
      <c r="C69" s="173"/>
      <c r="D69" s="173"/>
      <c r="E69" s="26"/>
      <c r="G69" s="177"/>
      <c r="H69" s="26">
        <f>+G55*-1</f>
        <v>-300000</v>
      </c>
    </row>
    <row r="70" spans="1:14" ht="15" customHeight="1" thickBot="1" x14ac:dyDescent="0.3">
      <c r="B70" s="176" t="s">
        <v>141</v>
      </c>
      <c r="C70" s="173"/>
      <c r="D70" s="173"/>
      <c r="E70" s="26"/>
      <c r="G70" s="177"/>
      <c r="H70" s="178">
        <f>H68+H69</f>
        <v>222481</v>
      </c>
    </row>
    <row r="71" spans="1:14" ht="15" customHeight="1" thickTop="1" x14ac:dyDescent="0.25">
      <c r="C71" s="173"/>
      <c r="D71" s="173"/>
      <c r="E71" s="26"/>
      <c r="G71" s="179">
        <f>IF(G70&gt;10000,G70,0)</f>
        <v>0</v>
      </c>
      <c r="H71" s="18">
        <f>+H70</f>
        <v>222481</v>
      </c>
    </row>
    <row r="72" spans="1:14" ht="19.8" customHeight="1" x14ac:dyDescent="0.25">
      <c r="B72" s="180" t="s">
        <v>142</v>
      </c>
      <c r="C72" s="181" t="s">
        <v>143</v>
      </c>
      <c r="D72" s="181" t="s">
        <v>144</v>
      </c>
      <c r="E72" s="181" t="s">
        <v>145</v>
      </c>
      <c r="F72" s="182" t="s">
        <v>146</v>
      </c>
      <c r="G72" s="183" t="s">
        <v>147</v>
      </c>
      <c r="H72" s="181" t="s">
        <v>148</v>
      </c>
    </row>
    <row r="73" spans="1:14" ht="15" customHeight="1" x14ac:dyDescent="0.25">
      <c r="A73" s="184">
        <v>1</v>
      </c>
      <c r="B73" s="185">
        <v>44287</v>
      </c>
      <c r="C73" s="186">
        <v>20000</v>
      </c>
      <c r="D73" s="185">
        <v>44362</v>
      </c>
      <c r="E73" s="177">
        <f>(H71*0.15)</f>
        <v>33372.15</v>
      </c>
      <c r="F73" s="177">
        <f>ROUNDDOWN(+E73,-2)</f>
        <v>33300</v>
      </c>
      <c r="G73" s="177">
        <f>(F73-C73)</f>
        <v>13300</v>
      </c>
      <c r="H73" s="187">
        <f>IF(G73&gt;0,G73*0.12/12*3,0)</f>
        <v>399</v>
      </c>
      <c r="I73" s="188" t="s">
        <v>149</v>
      </c>
      <c r="J73" s="188"/>
      <c r="K73" s="189" t="s">
        <v>150</v>
      </c>
      <c r="M73" s="26"/>
    </row>
    <row r="74" spans="1:14" ht="15" customHeight="1" x14ac:dyDescent="0.25">
      <c r="A74" s="184">
        <v>2</v>
      </c>
      <c r="C74" s="186"/>
      <c r="D74" s="185">
        <v>44454</v>
      </c>
      <c r="E74" s="177">
        <f>H71*0.45</f>
        <v>100116.45</v>
      </c>
      <c r="F74" s="177">
        <f>ROUNDDOWN(+E74,-2)</f>
        <v>100100</v>
      </c>
      <c r="G74" s="177">
        <f>(F74-C74-C73)</f>
        <v>80100</v>
      </c>
      <c r="H74" s="187">
        <f>IF(G74&gt;0,G74*0.12/12*3,0)</f>
        <v>2403</v>
      </c>
      <c r="J74" s="190"/>
      <c r="K74" s="191"/>
      <c r="L74" s="18">
        <f>L72-L73</f>
        <v>0</v>
      </c>
    </row>
    <row r="75" spans="1:14" ht="15" customHeight="1" x14ac:dyDescent="0.25">
      <c r="A75" s="184">
        <v>3</v>
      </c>
      <c r="B75" s="185">
        <v>44470</v>
      </c>
      <c r="C75" s="186">
        <v>30000</v>
      </c>
      <c r="D75" s="185">
        <v>44545</v>
      </c>
      <c r="E75" s="177">
        <f>H71*0.75</f>
        <v>166860.75</v>
      </c>
      <c r="F75" s="177">
        <f>ROUNDDOWN(+E75,-2)</f>
        <v>166800</v>
      </c>
      <c r="G75" s="177">
        <f>(F75-(C73+C74+C75))</f>
        <v>116800</v>
      </c>
      <c r="H75" s="187">
        <f>IF(G75&gt;0,G75*0.12/12*3,0)</f>
        <v>3504</v>
      </c>
      <c r="J75" s="190" t="s">
        <v>151</v>
      </c>
      <c r="K75" s="191">
        <f>+H78</f>
        <v>7630</v>
      </c>
    </row>
    <row r="76" spans="1:14" ht="15" customHeight="1" x14ac:dyDescent="0.25">
      <c r="A76" s="184">
        <v>4</v>
      </c>
      <c r="B76" s="185">
        <v>44550</v>
      </c>
      <c r="C76" s="186">
        <v>40000</v>
      </c>
      <c r="D76" s="185">
        <v>44635</v>
      </c>
      <c r="E76" s="177">
        <f>H71*1</f>
        <v>222481</v>
      </c>
      <c r="F76" s="177">
        <f>ROUNDDOWN(+E76,-2)</f>
        <v>222400</v>
      </c>
      <c r="G76" s="177">
        <f>(F76-(C73+C74+C75+C76))</f>
        <v>132400</v>
      </c>
      <c r="H76" s="187">
        <f>IF(G76&gt;0,G76*0.12/12,0)</f>
        <v>1324</v>
      </c>
      <c r="J76" s="190" t="s">
        <v>152</v>
      </c>
      <c r="K76" s="191">
        <f>+K75</f>
        <v>7630</v>
      </c>
      <c r="L76" s="19"/>
    </row>
    <row r="77" spans="1:14" ht="15" customHeight="1" x14ac:dyDescent="0.25">
      <c r="A77" s="184">
        <v>5</v>
      </c>
      <c r="B77" s="185"/>
      <c r="C77" s="186">
        <f>+G53</f>
        <v>0</v>
      </c>
      <c r="D77" s="185">
        <v>44651</v>
      </c>
      <c r="F77" s="192"/>
      <c r="G77" s="193"/>
      <c r="H77" s="191"/>
      <c r="M77" s="26"/>
    </row>
    <row r="78" spans="1:14" ht="15" customHeight="1" thickBot="1" x14ac:dyDescent="0.3">
      <c r="B78" s="173"/>
      <c r="C78" s="194">
        <f>SUM(C73:C77)</f>
        <v>90000</v>
      </c>
      <c r="D78" s="173"/>
      <c r="E78" s="173"/>
      <c r="F78" s="173"/>
      <c r="G78" s="173"/>
      <c r="H78" s="195">
        <f>SUM(H73:H77)</f>
        <v>7630</v>
      </c>
    </row>
    <row r="79" spans="1:14" ht="15" customHeight="1" thickTop="1" thickBot="1" x14ac:dyDescent="0.3">
      <c r="A79" s="196"/>
      <c r="B79" s="197"/>
      <c r="C79" s="198"/>
      <c r="D79" s="197"/>
      <c r="E79" s="197"/>
      <c r="F79" s="197"/>
      <c r="G79" s="197"/>
      <c r="H79" s="197"/>
      <c r="J79" s="19"/>
    </row>
    <row r="80" spans="1:14" ht="15" customHeight="1" x14ac:dyDescent="0.25">
      <c r="B80" s="172" t="s">
        <v>153</v>
      </c>
      <c r="C80" s="199"/>
      <c r="D80" s="173"/>
      <c r="E80" s="173"/>
      <c r="F80" s="173"/>
      <c r="G80" s="173"/>
      <c r="H80" s="163" t="s">
        <v>148</v>
      </c>
      <c r="J80" s="19"/>
    </row>
    <row r="81" spans="1:11" ht="15" customHeight="1" x14ac:dyDescent="0.25">
      <c r="B81" s="176" t="s">
        <v>139</v>
      </c>
      <c r="C81" s="173"/>
      <c r="D81" s="173"/>
      <c r="E81" s="177">
        <f>+H68</f>
        <v>522481</v>
      </c>
      <c r="F81" s="173"/>
      <c r="G81" s="200">
        <v>44652</v>
      </c>
      <c r="H81" s="187">
        <f>F87*0.01</f>
        <v>1324</v>
      </c>
      <c r="J81" s="19"/>
    </row>
    <row r="82" spans="1:11" ht="15" customHeight="1" x14ac:dyDescent="0.25">
      <c r="B82" s="201" t="s">
        <v>140</v>
      </c>
      <c r="C82" s="173"/>
      <c r="D82" s="173"/>
      <c r="E82" s="177">
        <f>+H69</f>
        <v>-300000</v>
      </c>
      <c r="F82" s="173"/>
      <c r="G82" s="200">
        <v>44682</v>
      </c>
      <c r="H82" s="187">
        <f>+H81</f>
        <v>1324</v>
      </c>
      <c r="J82" s="19"/>
    </row>
    <row r="83" spans="1:11" ht="15" customHeight="1" thickBot="1" x14ac:dyDescent="0.3">
      <c r="B83" s="201"/>
      <c r="C83" s="173"/>
      <c r="D83" s="173"/>
      <c r="E83" s="202">
        <f>E81+E82</f>
        <v>222481</v>
      </c>
      <c r="G83" s="200">
        <v>44713</v>
      </c>
      <c r="H83" s="187">
        <f>+H82</f>
        <v>1324</v>
      </c>
      <c r="J83" s="19"/>
    </row>
    <row r="84" spans="1:11" ht="15" customHeight="1" thickTop="1" x14ac:dyDescent="0.25">
      <c r="F84" s="173"/>
      <c r="G84" s="200">
        <v>44743</v>
      </c>
      <c r="H84" s="187">
        <f>F91*0.01</f>
        <v>890</v>
      </c>
      <c r="J84" s="19"/>
    </row>
    <row r="85" spans="1:11" ht="15" customHeight="1" x14ac:dyDescent="0.25">
      <c r="B85" s="173" t="s">
        <v>154</v>
      </c>
      <c r="C85" s="199"/>
      <c r="D85" s="203">
        <v>0.9</v>
      </c>
      <c r="E85" s="204">
        <f>ROUND(E83*90%,0)</f>
        <v>200233</v>
      </c>
      <c r="F85" s="173"/>
      <c r="G85" s="200">
        <v>44774</v>
      </c>
      <c r="H85" s="187">
        <f t="shared" ref="H85:H87" si="0">+H84</f>
        <v>890</v>
      </c>
      <c r="J85" s="19"/>
    </row>
    <row r="86" spans="1:11" ht="15" customHeight="1" x14ac:dyDescent="0.25">
      <c r="B86" s="173" t="s">
        <v>155</v>
      </c>
      <c r="C86" s="199"/>
      <c r="D86" s="173"/>
      <c r="E86" s="177">
        <f>ROUND(+C78,0)</f>
        <v>90000</v>
      </c>
      <c r="F86" s="173"/>
      <c r="G86" s="200">
        <v>44805</v>
      </c>
      <c r="H86" s="187">
        <f t="shared" si="0"/>
        <v>890</v>
      </c>
      <c r="I86" s="205" t="s">
        <v>149</v>
      </c>
      <c r="J86" s="205"/>
      <c r="K86" s="75" t="s">
        <v>156</v>
      </c>
    </row>
    <row r="87" spans="1:11" ht="15" customHeight="1" x14ac:dyDescent="0.25">
      <c r="B87" s="18" t="s">
        <v>157</v>
      </c>
      <c r="C87" s="199"/>
      <c r="D87" s="173"/>
      <c r="E87" s="177">
        <f>E83-E86</f>
        <v>132481</v>
      </c>
      <c r="F87" s="177">
        <f>ROUNDDOWN(E87,-2)</f>
        <v>132400</v>
      </c>
      <c r="G87" s="200">
        <v>44835</v>
      </c>
      <c r="H87" s="187">
        <f t="shared" si="0"/>
        <v>890</v>
      </c>
      <c r="J87" s="206"/>
      <c r="K87" s="207"/>
    </row>
    <row r="88" spans="1:11" ht="15" customHeight="1" x14ac:dyDescent="0.25">
      <c r="B88" s="208">
        <f>+B56</f>
        <v>44720</v>
      </c>
      <c r="C88" s="173" t="s">
        <v>158</v>
      </c>
      <c r="D88" s="173"/>
      <c r="E88" s="209">
        <f>+G56</f>
        <v>55000</v>
      </c>
      <c r="F88" s="173"/>
      <c r="G88" s="200">
        <v>44866</v>
      </c>
      <c r="H88" s="187"/>
      <c r="J88" s="206" t="s">
        <v>151</v>
      </c>
      <c r="K88" s="207">
        <f>+H90+890</f>
        <v>8422</v>
      </c>
    </row>
    <row r="89" spans="1:11" ht="15" customHeight="1" x14ac:dyDescent="0.25">
      <c r="C89" s="29" t="s">
        <v>159</v>
      </c>
      <c r="E89" s="210">
        <f>H78+H81*3</f>
        <v>11602</v>
      </c>
      <c r="F89" s="173"/>
      <c r="G89" s="200">
        <v>44896</v>
      </c>
      <c r="H89" s="211"/>
      <c r="J89" s="206" t="s">
        <v>152</v>
      </c>
      <c r="K89" s="207">
        <f>K88+F91*0.01</f>
        <v>9312</v>
      </c>
    </row>
    <row r="90" spans="1:11" ht="15" customHeight="1" thickBot="1" x14ac:dyDescent="0.3">
      <c r="C90" s="176" t="s">
        <v>160</v>
      </c>
      <c r="E90" s="212">
        <f>E88-E89</f>
        <v>43398</v>
      </c>
      <c r="F90" s="173"/>
      <c r="G90" s="173"/>
      <c r="H90" s="195">
        <f>SUM(H81:H89)</f>
        <v>7532</v>
      </c>
    </row>
    <row r="91" spans="1:11" ht="15" customHeight="1" thickTop="1" x14ac:dyDescent="0.25">
      <c r="B91" s="18" t="s">
        <v>161</v>
      </c>
      <c r="C91" s="176"/>
      <c r="E91" s="213">
        <f>E87-E90</f>
        <v>89083</v>
      </c>
      <c r="F91" s="177">
        <f>ROUNDDOWN(E91,-2)</f>
        <v>89000</v>
      </c>
      <c r="G91" s="173"/>
      <c r="H91" s="211"/>
      <c r="J91" s="19"/>
    </row>
    <row r="92" spans="1:11" ht="15" customHeight="1" thickBot="1" x14ac:dyDescent="0.3">
      <c r="A92" s="196"/>
      <c r="B92" s="214"/>
      <c r="C92" s="215"/>
      <c r="D92" s="214"/>
      <c r="E92" s="216"/>
      <c r="F92" s="217"/>
      <c r="G92" s="197"/>
      <c r="H92" s="218"/>
      <c r="J92" s="19"/>
    </row>
    <row r="93" spans="1:11" ht="15" customHeight="1" x14ac:dyDescent="0.25">
      <c r="B93" s="172" t="s">
        <v>162</v>
      </c>
      <c r="C93" s="219"/>
      <c r="D93" s="219"/>
      <c r="E93" s="219"/>
      <c r="F93" s="219"/>
      <c r="G93" s="219"/>
      <c r="H93" s="219"/>
      <c r="I93" s="219"/>
      <c r="J93" s="211"/>
    </row>
    <row r="94" spans="1:11" ht="15" customHeight="1" x14ac:dyDescent="0.25">
      <c r="B94" s="176" t="s">
        <v>139</v>
      </c>
      <c r="C94" s="173"/>
      <c r="D94" s="173"/>
      <c r="E94" s="177"/>
      <c r="F94" s="219"/>
      <c r="G94" s="173"/>
      <c r="H94" s="163" t="s">
        <v>148</v>
      </c>
      <c r="I94" s="219"/>
      <c r="J94" s="211"/>
    </row>
    <row r="95" spans="1:11" ht="15" customHeight="1" x14ac:dyDescent="0.25">
      <c r="B95" s="201" t="s">
        <v>140</v>
      </c>
      <c r="C95" s="173"/>
      <c r="D95" s="173"/>
      <c r="E95" s="177"/>
      <c r="F95" s="219"/>
      <c r="G95" s="200">
        <v>44774</v>
      </c>
      <c r="H95" s="187">
        <v>890</v>
      </c>
      <c r="I95" s="219"/>
      <c r="J95" s="211"/>
    </row>
    <row r="96" spans="1:11" ht="15" customHeight="1" x14ac:dyDescent="0.25">
      <c r="B96" s="201" t="s">
        <v>163</v>
      </c>
      <c r="C96" s="173"/>
      <c r="D96" s="173"/>
      <c r="E96" s="213">
        <f>+G53*-1</f>
        <v>0</v>
      </c>
      <c r="F96" s="219"/>
      <c r="G96" s="200">
        <v>44805</v>
      </c>
      <c r="H96" s="187">
        <v>890</v>
      </c>
      <c r="I96" s="220" t="s">
        <v>149</v>
      </c>
      <c r="J96" s="220"/>
      <c r="K96" s="221" t="s">
        <v>164</v>
      </c>
    </row>
    <row r="97" spans="2:11" ht="15" customHeight="1" x14ac:dyDescent="0.25">
      <c r="B97" s="201" t="s">
        <v>165</v>
      </c>
      <c r="C97" s="173"/>
      <c r="D97" s="173"/>
      <c r="E97" s="58"/>
      <c r="F97" s="219"/>
      <c r="G97" s="200">
        <v>44835</v>
      </c>
      <c r="H97" s="187">
        <v>890</v>
      </c>
      <c r="I97" s="219"/>
      <c r="J97" s="222"/>
      <c r="K97" s="223"/>
    </row>
    <row r="98" spans="2:11" ht="15" customHeight="1" x14ac:dyDescent="0.25">
      <c r="B98" s="201"/>
      <c r="C98" s="173"/>
      <c r="D98" s="173"/>
      <c r="E98" s="58"/>
      <c r="F98" s="219"/>
      <c r="G98" s="200">
        <v>44866</v>
      </c>
      <c r="H98" s="187"/>
      <c r="I98" s="219"/>
      <c r="J98" s="222" t="s">
        <v>151</v>
      </c>
      <c r="K98" s="223">
        <f>2670+890</f>
        <v>3560</v>
      </c>
    </row>
    <row r="99" spans="2:11" ht="15" customHeight="1" x14ac:dyDescent="0.25">
      <c r="B99" s="201"/>
      <c r="C99" s="173"/>
      <c r="D99" s="173"/>
      <c r="E99" s="58"/>
      <c r="F99" s="219"/>
      <c r="G99" s="200">
        <v>44896</v>
      </c>
      <c r="H99" s="187"/>
      <c r="I99" s="219"/>
      <c r="J99" s="222" t="s">
        <v>152</v>
      </c>
      <c r="K99" s="223">
        <f>2670+890+890</f>
        <v>4450</v>
      </c>
    </row>
    <row r="100" spans="2:11" ht="15" customHeight="1" thickBot="1" x14ac:dyDescent="0.3">
      <c r="E100" s="58"/>
      <c r="F100" s="219"/>
      <c r="G100" s="224"/>
      <c r="H100" s="195">
        <f>SUM(H95:H99)</f>
        <v>2670</v>
      </c>
      <c r="I100" s="219"/>
      <c r="J100" s="219"/>
    </row>
    <row r="101" spans="2:11" ht="15" customHeight="1" thickTop="1" x14ac:dyDescent="0.25">
      <c r="C101" s="173"/>
      <c r="D101" s="173"/>
      <c r="E101" s="177">
        <f>ROUNDDOWN(+E100,-2)</f>
        <v>0</v>
      </c>
      <c r="F101" s="177">
        <f>ROUNDDOWN(E101,-2)</f>
        <v>0</v>
      </c>
      <c r="G101" s="219"/>
      <c r="H101" s="219"/>
      <c r="I101" s="219"/>
      <c r="J101" s="211"/>
    </row>
    <row r="102" spans="2:11" ht="15" customHeight="1" x14ac:dyDescent="0.25">
      <c r="C102" s="173"/>
      <c r="D102" s="173"/>
      <c r="E102" s="177"/>
      <c r="F102" s="177"/>
      <c r="G102" s="219"/>
      <c r="H102" s="219"/>
      <c r="I102" s="219"/>
      <c r="J102" s="211"/>
    </row>
  </sheetData>
  <mergeCells count="13">
    <mergeCell ref="I96:J96"/>
    <mergeCell ref="C55:D55"/>
    <mergeCell ref="A58:I58"/>
    <mergeCell ref="A59:B59"/>
    <mergeCell ref="F59:I59"/>
    <mergeCell ref="I73:J73"/>
    <mergeCell ref="I86:J86"/>
    <mergeCell ref="A1:C1"/>
    <mergeCell ref="D1:H1"/>
    <mergeCell ref="J1:M1"/>
    <mergeCell ref="A2:C2"/>
    <mergeCell ref="F2:G2"/>
    <mergeCell ref="C54:D54"/>
  </mergeCells>
  <conditionalFormatting sqref="F43">
    <cfRule type="expression" dxfId="0" priority="1" stopIfTrue="1">
      <formula>"""$E$55=0"""</formula>
    </cfRule>
  </conditionalFormatting>
  <printOptions horizontalCentered="1" verticalCentered="1"/>
  <pageMargins left="0.39370078740157483" right="0.19685039370078741" top="0.19685039370078741" bottom="0.19685039370078741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dcterms:created xsi:type="dcterms:W3CDTF">2022-10-13T17:34:05Z</dcterms:created>
  <dcterms:modified xsi:type="dcterms:W3CDTF">2022-10-13T17:34:23Z</dcterms:modified>
</cp:coreProperties>
</file>